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>
    <definedName name="_xlnm.Print_Titles" localSheetId="0">'írószer'!$5:$5</definedName>
  </definedNames>
  <calcPr fullCalcOnLoad="1"/>
</workbook>
</file>

<file path=xl/sharedStrings.xml><?xml version="1.0" encoding="utf-8"?>
<sst xmlns="http://schemas.openxmlformats.org/spreadsheetml/2006/main" count="695" uniqueCount="383">
  <si>
    <t>cikkszám</t>
  </si>
  <si>
    <t xml:space="preserve">240X12"                             </t>
  </si>
  <si>
    <t xml:space="preserve">LEPORELLÓS 240 MMX8"                </t>
  </si>
  <si>
    <t>anyag megnevezés 1</t>
  </si>
  <si>
    <t>ÖSSZESEN:</t>
  </si>
  <si>
    <t>tipus, méret</t>
  </si>
  <si>
    <t>ROSTIRON (ALKOHOLOS) VASTAG</t>
  </si>
  <si>
    <t>KÖRHEGYŰ-FEKETE</t>
  </si>
  <si>
    <t>KÖRHEGYŰ-PIROS</t>
  </si>
  <si>
    <t>KÖRHEGYŰ-ZÖLD</t>
  </si>
  <si>
    <t>KÖRHEGYŰ-KÉK</t>
  </si>
  <si>
    <t>VÁG,-HEGYŰ-ZÓLD</t>
  </si>
  <si>
    <t>VÁG,-HEGYŰ-KÉK</t>
  </si>
  <si>
    <t>24/6-NORMÁL</t>
  </si>
  <si>
    <t>10-KICSI</t>
  </si>
  <si>
    <t>SÁRGA</t>
  </si>
  <si>
    <t>ZÖLD</t>
  </si>
  <si>
    <t>KÉK</t>
  </si>
  <si>
    <t>NARANCS</t>
  </si>
  <si>
    <t>RAGASZTÓ SZALAG (HAVANNA)</t>
  </si>
  <si>
    <t>BARNA</t>
  </si>
  <si>
    <t>KORES-LACO FEKETE</t>
  </si>
  <si>
    <t>RW</t>
  </si>
  <si>
    <t>CERUZA (GRAFIT)</t>
  </si>
  <si>
    <t>H</t>
  </si>
  <si>
    <t>HB</t>
  </si>
  <si>
    <t>CERUZA (ÁCS)</t>
  </si>
  <si>
    <t>A/5</t>
  </si>
  <si>
    <t xml:space="preserve">NÉVJEGYTARTÓ </t>
  </si>
  <si>
    <t>3 DB-OS</t>
  </si>
  <si>
    <t xml:space="preserve">OLLÓ (PAPÍRVÁGÓ) </t>
  </si>
  <si>
    <t>BÁSTYAFEJŰ</t>
  </si>
  <si>
    <t>TÉPŐTÖMB (ONIX)ÖNTAPADÓS</t>
  </si>
  <si>
    <t>TÉPŐTÖMB (POST-IT) ÖNTAPADÓS</t>
  </si>
  <si>
    <t>TŰZŐGÉP</t>
  </si>
  <si>
    <t>STANLEY</t>
  </si>
  <si>
    <t>TŰZŐGÉP KAPOCS</t>
  </si>
  <si>
    <t>Me.</t>
  </si>
  <si>
    <t>db</t>
  </si>
  <si>
    <t>cso.</t>
  </si>
  <si>
    <t>FÉNYMÁSOLÓ PAPÍR (XEROX) 500 ív/cso.</t>
  </si>
  <si>
    <t>VONALZÓ (MŰANYAG)</t>
  </si>
  <si>
    <t>30 CM-ES</t>
  </si>
  <si>
    <t>TŰZŐGÉP KAPOCS 1000 db /doboz</t>
  </si>
  <si>
    <t>GÉMKAPOCS (NORMÁL) műag. bevonatos</t>
  </si>
  <si>
    <t>dob.</t>
  </si>
  <si>
    <t>55MM</t>
  </si>
  <si>
    <t>GÉMKAPOCS (NAGY) műag. bevonatos</t>
  </si>
  <si>
    <t>tek.</t>
  </si>
  <si>
    <t>A/4</t>
  </si>
  <si>
    <t>IRATPAPUCS (PAPÍR)</t>
  </si>
  <si>
    <t>RAJZSZÖG (MŰANYAG)</t>
  </si>
  <si>
    <t>FÜZET (FRANCIA KOCKÁS)</t>
  </si>
  <si>
    <t>FÜZET (SPIRÁL) KOCKÁS</t>
  </si>
  <si>
    <t>RAGASZTÓ (PILLANAT)</t>
  </si>
  <si>
    <t>RAGASZTÓ (TECHNOKOL RAPID)</t>
  </si>
  <si>
    <t>FÜZET (VONALAS)</t>
  </si>
  <si>
    <t>ETIKETT CIMKE (DATALINE 36842) A/4</t>
  </si>
  <si>
    <t>ív</t>
  </si>
  <si>
    <t>KÉK SZÍNŰ</t>
  </si>
  <si>
    <t>SIMA</t>
  </si>
  <si>
    <t>ROSTIRON  (ALKOHOLOS) VÉKONY</t>
  </si>
  <si>
    <t>ROSTIRON  (VIZES BÁZISÚ) VÉKONY</t>
  </si>
  <si>
    <t>PENTEL ULTRA FINE PIROS</t>
  </si>
  <si>
    <t>IRATRENDEZŐ (ÉLVÉDŐS) HERLITZ</t>
  </si>
  <si>
    <t>CASIO MS 20TV</t>
  </si>
  <si>
    <t>PÉNZKAZETTA</t>
  </si>
  <si>
    <t>30X22 CM</t>
  </si>
  <si>
    <t>PÉNZTÁRGÉP SZALAG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</si>
  <si>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</si>
  <si>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</si>
  <si>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</si>
  <si>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</si>
  <si>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</si>
  <si>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</si>
  <si>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 xml:space="preserve">A/4 </t>
  </si>
  <si>
    <t>IRATSPIRÁL ELŐLAP (ÁTLÁTSZÓ)</t>
  </si>
  <si>
    <t xml:space="preserve">IRAT SPIRÁL    </t>
  </si>
  <si>
    <t>19MM-ES</t>
  </si>
  <si>
    <t>14MM-ES</t>
  </si>
  <si>
    <t>10MM-ES</t>
  </si>
  <si>
    <t>ROSTIRON (ALKOHOLOS)</t>
  </si>
  <si>
    <t>EDDING 140S ZÖLD</t>
  </si>
  <si>
    <t>EDDING 140S FEKETE</t>
  </si>
  <si>
    <t>EDDING 140S PIROS</t>
  </si>
  <si>
    <t>EDDING 140S KÉK</t>
  </si>
  <si>
    <t>EDDING 142M ZÖLD</t>
  </si>
  <si>
    <t>EDDING 142M FEKETE</t>
  </si>
  <si>
    <t>EDDING 142M PIROS</t>
  </si>
  <si>
    <t>EDDING 142M KÉK</t>
  </si>
  <si>
    <t>10-ES MÉRETŰ-KICSI</t>
  </si>
  <si>
    <t>10-ES MÉRETŰ KAPCSOS</t>
  </si>
  <si>
    <t>4,8 MM-ES</t>
  </si>
  <si>
    <t>TŰZŐGÉP KAPOCS KISZEDŐ</t>
  </si>
  <si>
    <t>KÉK SZÍNŰ 7,5 CM-ES</t>
  </si>
  <si>
    <t>FRANCIAKOSKÁS LAP</t>
  </si>
  <si>
    <t>A/7</t>
  </si>
  <si>
    <t>KÉK SZÍNŰ BETÉTTEL</t>
  </si>
  <si>
    <t>PIROS SZÍNŰ BETÉTTEL</t>
  </si>
  <si>
    <t>GOLYÓSTOLL  BETÉT(SOLIDLY) KÉK</t>
  </si>
  <si>
    <t>S.KÉK SZÍNŰ HÁTLAPPAL</t>
  </si>
  <si>
    <t>PENTEL ULTRA FINE KÉK</t>
  </si>
  <si>
    <t>PENTEL ULTRA FINE FEKETE</t>
  </si>
  <si>
    <t>raktári tartalék</t>
  </si>
  <si>
    <t>HŐPAPÍR</t>
  </si>
  <si>
    <t>57X45 MM</t>
  </si>
  <si>
    <t>ZÖLD SZÍNŰ 7,5 CM-ES</t>
  </si>
  <si>
    <t>FEHÉR SZÍNŰ 7,5 CM-ES</t>
  </si>
  <si>
    <t>PIROS SZÍNŰ 7,5 CM-ES</t>
  </si>
  <si>
    <t>FEKETE SZÍNŰ 7,5 CM-ES</t>
  </si>
  <si>
    <t xml:space="preserve"> szolgáltató üzemek</t>
  </si>
  <si>
    <t>eyéb üzemek</t>
  </si>
  <si>
    <t>központi irányítás</t>
  </si>
  <si>
    <r>
      <t>karbantartás</t>
    </r>
    <r>
      <rPr>
        <sz val="8"/>
        <color indexed="10"/>
        <rFont val="Arial CE"/>
        <family val="0"/>
      </rPr>
      <t xml:space="preserve">  169</t>
    </r>
    <r>
      <rPr>
        <sz val="8"/>
        <rFont val="Arial CE"/>
        <family val="0"/>
      </rPr>
      <t xml:space="preserve">  (Bátori Imre)</t>
    </r>
  </si>
  <si>
    <t>ügyfélszolgálat</t>
  </si>
  <si>
    <r>
      <t xml:space="preserve">Gunics Józsefné  </t>
    </r>
    <r>
      <rPr>
        <sz val="8"/>
        <color indexed="10"/>
        <rFont val="Arial CE"/>
        <family val="0"/>
      </rPr>
      <t>62</t>
    </r>
  </si>
  <si>
    <r>
      <t xml:space="preserve">Kocsis Mihályné  </t>
    </r>
    <r>
      <rPr>
        <sz val="8"/>
        <color indexed="10"/>
        <rFont val="Arial CE"/>
        <family val="0"/>
      </rPr>
      <t>62</t>
    </r>
  </si>
  <si>
    <t>könyvelés</t>
  </si>
  <si>
    <t>humán</t>
  </si>
  <si>
    <t>számlázás</t>
  </si>
  <si>
    <t>jogász</t>
  </si>
  <si>
    <t xml:space="preserve">raktár  </t>
  </si>
  <si>
    <t>i.</t>
  </si>
  <si>
    <t>ZSEBSZÁMOLÓGÉP</t>
  </si>
  <si>
    <t>LC5 / FEHÉR SZÍNŰ</t>
  </si>
  <si>
    <t>LC6 / FEHÉR SZÍNŰ</t>
  </si>
  <si>
    <t>LC4 / FEHÉR SZÍNŰ</t>
  </si>
  <si>
    <t>IRATSPIRÁL HÁTLAP (FEHÉR)</t>
  </si>
  <si>
    <t>H-8000 PIROS SZÍNŰ BETÉTTEL</t>
  </si>
  <si>
    <t>H-8000 KÉK SZÍNŰ BETÉTTEL</t>
  </si>
  <si>
    <t>GOLYÓSTOLL (SIGNETTA) OLCSÓ</t>
  </si>
  <si>
    <t>KÉK SZÍNŰ 5 CM-ES</t>
  </si>
  <si>
    <t>FEKETE SZÍNŰ 5 CM-ES</t>
  </si>
  <si>
    <t>ZÖLD SZÍNŰ 5 CM-ES</t>
  </si>
  <si>
    <t>PIROS SZÍNŰ 5 CM-ES</t>
  </si>
  <si>
    <t>FEHÉR SZÍNŰ 5 CM-ES</t>
  </si>
  <si>
    <t>QUICK TAGS (TÖBB SZÍNŰ)</t>
  </si>
  <si>
    <t>POST-IT (TÖBB SZÍNŰ)</t>
  </si>
  <si>
    <t>10 CM-ES</t>
  </si>
  <si>
    <t>25 MM-ES (12db/dob.)</t>
  </si>
  <si>
    <t>19 MM-ES (12db/dob.)</t>
  </si>
  <si>
    <t>15 MM-ES (12db/dob.)</t>
  </si>
  <si>
    <t>ETIKETT CIMKE (PÁTRIA) A/4</t>
  </si>
  <si>
    <t>AZ ALAPLISTÁBAN NEM SZEREPLŐ ANYAGOK MEGRENDELÉSE !</t>
  </si>
  <si>
    <r>
      <t xml:space="preserve">Marozsák Péter  </t>
    </r>
    <r>
      <rPr>
        <sz val="8"/>
        <color indexed="10"/>
        <rFont val="Arial CE"/>
        <family val="0"/>
      </rPr>
      <t xml:space="preserve"> 61</t>
    </r>
  </si>
  <si>
    <r>
      <t xml:space="preserve">Plaszkó Gyuláné  </t>
    </r>
    <r>
      <rPr>
        <sz val="8"/>
        <color indexed="10"/>
        <rFont val="Arial CE"/>
        <family val="0"/>
      </rPr>
      <t xml:space="preserve"> 61</t>
    </r>
  </si>
  <si>
    <r>
      <t xml:space="preserve">Odor Istvánné  </t>
    </r>
    <r>
      <rPr>
        <sz val="8"/>
        <color indexed="10"/>
        <rFont val="Arial CE"/>
        <family val="0"/>
      </rPr>
      <t>61</t>
    </r>
  </si>
  <si>
    <r>
      <t xml:space="preserve">Fakó Andrea  </t>
    </r>
    <r>
      <rPr>
        <sz val="8"/>
        <color indexed="10"/>
        <rFont val="Arial CE"/>
        <family val="0"/>
      </rPr>
      <t>19</t>
    </r>
  </si>
  <si>
    <r>
      <t xml:space="preserve">Kalóz Zoltán  </t>
    </r>
    <r>
      <rPr>
        <sz val="8"/>
        <color indexed="10"/>
        <rFont val="Arial CE"/>
        <family val="0"/>
      </rPr>
      <t>19</t>
    </r>
  </si>
  <si>
    <r>
      <t xml:space="preserve">Fróna Judit  </t>
    </r>
    <r>
      <rPr>
        <sz val="8"/>
        <color indexed="10"/>
        <rFont val="Arial CE"/>
        <family val="0"/>
      </rPr>
      <t>59</t>
    </r>
  </si>
  <si>
    <r>
      <t xml:space="preserve">Kislászló Andrea </t>
    </r>
    <r>
      <rPr>
        <sz val="8"/>
        <color indexed="10"/>
        <rFont val="Arial CE"/>
        <family val="0"/>
      </rPr>
      <t xml:space="preserve"> 61</t>
    </r>
  </si>
  <si>
    <r>
      <t xml:space="preserve">Ducsai Zoltán  </t>
    </r>
    <r>
      <rPr>
        <sz val="8"/>
        <color indexed="10"/>
        <rFont val="Arial CE"/>
        <family val="0"/>
      </rPr>
      <t>59</t>
    </r>
  </si>
  <si>
    <r>
      <t xml:space="preserve">Elek Pál   </t>
    </r>
    <r>
      <rPr>
        <sz val="8"/>
        <color indexed="10"/>
        <rFont val="Arial CE"/>
        <family val="0"/>
      </rPr>
      <t>19</t>
    </r>
  </si>
  <si>
    <r>
      <t xml:space="preserve">Kovács József  </t>
    </r>
    <r>
      <rPr>
        <sz val="8"/>
        <color indexed="10"/>
        <rFont val="Arial CE"/>
        <family val="0"/>
      </rPr>
      <t>19</t>
    </r>
  </si>
  <si>
    <r>
      <t>Szarka Gábor</t>
    </r>
    <r>
      <rPr>
        <sz val="8"/>
        <color indexed="10"/>
        <rFont val="Arial CE"/>
        <family val="0"/>
      </rPr>
      <t xml:space="preserve">   64</t>
    </r>
  </si>
  <si>
    <r>
      <t xml:space="preserve">Oláh Dezső  </t>
    </r>
    <r>
      <rPr>
        <sz val="8"/>
        <color indexed="10"/>
        <rFont val="Arial CE"/>
        <family val="0"/>
      </rPr>
      <t>19</t>
    </r>
  </si>
  <si>
    <r>
      <t xml:space="preserve">Dr. Kiss Edit  </t>
    </r>
    <r>
      <rPr>
        <sz val="8"/>
        <color indexed="10"/>
        <rFont val="Arial CE"/>
        <family val="0"/>
      </rPr>
      <t>62</t>
    </r>
  </si>
  <si>
    <r>
      <t>Dr. Paranai Endre</t>
    </r>
    <r>
      <rPr>
        <sz val="8"/>
        <color indexed="10"/>
        <rFont val="Arial CE"/>
        <family val="0"/>
      </rPr>
      <t xml:space="preserve">  62</t>
    </r>
  </si>
  <si>
    <r>
      <t xml:space="preserve">Tóth Anita </t>
    </r>
    <r>
      <rPr>
        <sz val="8"/>
        <color indexed="10"/>
        <rFont val="Arial CE"/>
        <family val="0"/>
      </rPr>
      <t xml:space="preserve"> 62</t>
    </r>
  </si>
  <si>
    <r>
      <rPr>
        <sz val="8"/>
        <color indexed="60"/>
        <rFont val="Arial CE"/>
        <family val="0"/>
      </rPr>
      <t>Rácz Attiláné</t>
    </r>
    <r>
      <rPr>
        <sz val="8"/>
        <rFont val="Arial CE"/>
        <family val="0"/>
      </rPr>
      <t xml:space="preserve"> </t>
    </r>
    <r>
      <rPr>
        <sz val="8"/>
        <color indexed="10"/>
        <rFont val="Arial CE"/>
        <family val="0"/>
      </rPr>
      <t xml:space="preserve"> 62</t>
    </r>
  </si>
  <si>
    <r>
      <t xml:space="preserve">raktár  </t>
    </r>
    <r>
      <rPr>
        <sz val="8"/>
        <color indexed="10"/>
        <rFont val="Arial CE"/>
        <family val="0"/>
      </rPr>
      <t xml:space="preserve"> 62</t>
    </r>
  </si>
  <si>
    <r>
      <t xml:space="preserve">Reményi Zsolt </t>
    </r>
    <r>
      <rPr>
        <sz val="8"/>
        <color indexed="10"/>
        <rFont val="Arial CE"/>
        <family val="0"/>
      </rPr>
      <t xml:space="preserve"> 62</t>
    </r>
  </si>
  <si>
    <t>MAGIC CLIP KAPOCS ADAGOLÓ</t>
  </si>
  <si>
    <t>cs.</t>
  </si>
  <si>
    <t>32 MM-ES (12db/dob.)</t>
  </si>
  <si>
    <r>
      <rPr>
        <sz val="8"/>
        <color indexed="60"/>
        <rFont val="Arial CE"/>
        <family val="0"/>
      </rPr>
      <t>Gach Józsefné</t>
    </r>
    <r>
      <rPr>
        <sz val="8"/>
        <rFont val="Arial CE"/>
        <family val="0"/>
      </rPr>
      <t xml:space="preserve">  </t>
    </r>
    <r>
      <rPr>
        <sz val="8"/>
        <color indexed="10"/>
        <rFont val="Arial CE"/>
        <family val="0"/>
      </rPr>
      <t>62</t>
    </r>
  </si>
  <si>
    <r>
      <rPr>
        <sz val="8"/>
        <color indexed="60"/>
        <rFont val="Arial CE"/>
        <family val="0"/>
      </rPr>
      <t>Fodorné Nagy Erika</t>
    </r>
    <r>
      <rPr>
        <sz val="8"/>
        <rFont val="Arial CE"/>
        <family val="0"/>
      </rPr>
      <t xml:space="preserve">   </t>
    </r>
    <r>
      <rPr>
        <sz val="8"/>
        <color indexed="10"/>
        <rFont val="Arial CE"/>
        <family val="0"/>
      </rPr>
      <t>62</t>
    </r>
  </si>
  <si>
    <r>
      <rPr>
        <sz val="8"/>
        <color indexed="60"/>
        <rFont val="Arial CE"/>
        <family val="0"/>
      </rPr>
      <t xml:space="preserve">Szikora Szilvia </t>
    </r>
    <r>
      <rPr>
        <sz val="8"/>
        <color indexed="10"/>
        <rFont val="Arial CE"/>
        <family val="0"/>
      </rPr>
      <t xml:space="preserve"> 62</t>
    </r>
  </si>
  <si>
    <r>
      <t xml:space="preserve">Kalapos Istvánné </t>
    </r>
    <r>
      <rPr>
        <sz val="8"/>
        <color indexed="10"/>
        <rFont val="Arial CE"/>
        <family val="0"/>
      </rPr>
      <t xml:space="preserve"> 62</t>
    </r>
  </si>
  <si>
    <r>
      <t xml:space="preserve">Nagyné Tanyi Ágnes </t>
    </r>
    <r>
      <rPr>
        <sz val="8"/>
        <color indexed="10"/>
        <rFont val="Arial CE"/>
        <family val="0"/>
      </rPr>
      <t xml:space="preserve"> 62</t>
    </r>
  </si>
  <si>
    <r>
      <t xml:space="preserve">ivóvíz üzem  </t>
    </r>
    <r>
      <rPr>
        <sz val="8"/>
        <color indexed="10"/>
        <rFont val="Arial CE"/>
        <family val="0"/>
      </rPr>
      <t xml:space="preserve">119 </t>
    </r>
    <r>
      <rPr>
        <sz val="8"/>
        <rFont val="Arial CE"/>
        <family val="0"/>
      </rPr>
      <t xml:space="preserve"> (Kovács Tamás)</t>
    </r>
  </si>
  <si>
    <t>LÉPTÉKES VONALZÓ</t>
  </si>
  <si>
    <t>VONALZÓ (MŰANYAG) DERÉKSZÖGŰ</t>
  </si>
  <si>
    <t>CD-R LEMEZ (MŰANYAG VÉKONY TOKOS)</t>
  </si>
  <si>
    <t>DVD-R LEMEZ (MŰANYAG VÉKONY TOKOS)</t>
  </si>
  <si>
    <t xml:space="preserve">700MB  (VERBATIM, TDK) </t>
  </si>
  <si>
    <t>4,7GB (VERBATIM,TDK)</t>
  </si>
  <si>
    <t>ZSEBNOTESZ (SPIRÁLFŰZÉSES)</t>
  </si>
  <si>
    <r>
      <t xml:space="preserve">hőszolgáltató </t>
    </r>
    <r>
      <rPr>
        <sz val="8"/>
        <color indexed="10"/>
        <rFont val="Arial CE"/>
        <family val="0"/>
      </rPr>
      <t xml:space="preserve"> 139</t>
    </r>
    <r>
      <rPr>
        <sz val="8"/>
        <rFont val="Arial CE"/>
        <family val="0"/>
      </rPr>
      <t xml:space="preserve">  (Fakó Barnabás)</t>
    </r>
  </si>
  <si>
    <r>
      <t xml:space="preserve">termál hotel   </t>
    </r>
    <r>
      <rPr>
        <sz val="8"/>
        <color indexed="10"/>
        <rFont val="Arial CE"/>
        <family val="0"/>
      </rPr>
      <t>27</t>
    </r>
    <r>
      <rPr>
        <sz val="8"/>
        <rFont val="Arial CE"/>
        <family val="0"/>
      </rPr>
      <t xml:space="preserve">  (Kovács Nikolett)</t>
    </r>
  </si>
  <si>
    <r>
      <t xml:space="preserve">kemping   </t>
    </r>
    <r>
      <rPr>
        <sz val="8"/>
        <color indexed="10"/>
        <rFont val="Arial CE"/>
        <family val="0"/>
      </rPr>
      <t xml:space="preserve">28 </t>
    </r>
    <r>
      <rPr>
        <sz val="8"/>
        <rFont val="Arial CE"/>
        <family val="0"/>
      </rPr>
      <t xml:space="preserve"> (Kovács Nikolett)</t>
    </r>
  </si>
  <si>
    <r>
      <t xml:space="preserve">Víg Mónika   </t>
    </r>
    <r>
      <rPr>
        <sz val="8"/>
        <color indexed="10"/>
        <rFont val="Arial CE"/>
        <family val="0"/>
      </rPr>
      <t>62</t>
    </r>
  </si>
  <si>
    <r>
      <t xml:space="preserve">Recskó Péterné  </t>
    </r>
    <r>
      <rPr>
        <sz val="8"/>
        <color indexed="10"/>
        <rFont val="Arial CE"/>
        <family val="0"/>
      </rPr>
      <t xml:space="preserve"> 62</t>
    </r>
  </si>
  <si>
    <r>
      <t xml:space="preserve">Pristyákné Böszöri Katalin  </t>
    </r>
    <r>
      <rPr>
        <sz val="8"/>
        <color indexed="10"/>
        <rFont val="Arial CE"/>
        <family val="0"/>
      </rPr>
      <t>62</t>
    </r>
  </si>
  <si>
    <r>
      <t xml:space="preserve">szenyyvízüzem </t>
    </r>
    <r>
      <rPr>
        <sz val="8"/>
        <color indexed="10"/>
        <rFont val="Arial CE"/>
        <family val="0"/>
      </rPr>
      <t xml:space="preserve"> 129 </t>
    </r>
    <r>
      <rPr>
        <sz val="8"/>
        <rFont val="Arial CE"/>
        <family val="0"/>
      </rPr>
      <t xml:space="preserve"> (Nagy Gábor)</t>
    </r>
  </si>
  <si>
    <r>
      <rPr>
        <sz val="8"/>
        <color indexed="60"/>
        <rFont val="Arial CE"/>
        <family val="0"/>
      </rPr>
      <t>Liszkai Barnabásné</t>
    </r>
    <r>
      <rPr>
        <sz val="8"/>
        <color indexed="10"/>
        <rFont val="Arial CE"/>
        <family val="0"/>
      </rPr>
      <t xml:space="preserve">  62</t>
    </r>
  </si>
  <si>
    <r>
      <t>köztisztaság</t>
    </r>
    <r>
      <rPr>
        <sz val="8"/>
        <color indexed="10"/>
        <rFont val="Arial CE"/>
        <family val="0"/>
      </rPr>
      <t xml:space="preserve">  149</t>
    </r>
    <r>
      <rPr>
        <sz val="8"/>
        <rFont val="Arial CE"/>
        <family val="0"/>
      </rPr>
      <t xml:space="preserve">  (Répási Csaba)</t>
    </r>
  </si>
  <si>
    <r>
      <t xml:space="preserve">Molnár Lukácsné </t>
    </r>
    <r>
      <rPr>
        <sz val="8"/>
        <color indexed="10"/>
        <rFont val="Arial CE"/>
        <family val="0"/>
      </rPr>
      <t xml:space="preserve"> 62</t>
    </r>
  </si>
  <si>
    <r>
      <t xml:space="preserve">Fegyveres Péterné </t>
    </r>
    <r>
      <rPr>
        <sz val="8"/>
        <color indexed="10"/>
        <rFont val="Arial CE"/>
        <family val="0"/>
      </rPr>
      <t xml:space="preserve"> 62</t>
    </r>
  </si>
  <si>
    <r>
      <rPr>
        <sz val="8"/>
        <color indexed="60"/>
        <rFont val="Arial CE"/>
        <family val="0"/>
      </rPr>
      <t xml:space="preserve">Szabóné Dobos Katalin </t>
    </r>
    <r>
      <rPr>
        <sz val="8"/>
        <rFont val="Arial CE"/>
        <family val="0"/>
      </rPr>
      <t xml:space="preserve"> </t>
    </r>
    <r>
      <rPr>
        <sz val="8"/>
        <color indexed="10"/>
        <rFont val="Arial CE"/>
        <family val="0"/>
      </rPr>
      <t>62</t>
    </r>
  </si>
  <si>
    <t>TŰZŐGÉP FÉMBŐL (NORMÁL KAPCSOS)</t>
  </si>
  <si>
    <t>KÖTÖZŐZSINEG</t>
  </si>
  <si>
    <t>FLOPPY LEMEZ 3,5" FORMATÁLT</t>
  </si>
  <si>
    <t>10db / doboz</t>
  </si>
  <si>
    <r>
      <t>termálfürdő</t>
    </r>
    <r>
      <rPr>
        <sz val="8"/>
        <rFont val="Arial CE"/>
        <family val="0"/>
      </rPr>
      <t xml:space="preserve">  </t>
    </r>
    <r>
      <rPr>
        <sz val="8"/>
        <color indexed="10"/>
        <rFont val="Arial CE"/>
        <family val="0"/>
      </rPr>
      <t xml:space="preserve"> 219</t>
    </r>
    <r>
      <rPr>
        <sz val="8"/>
        <rFont val="Arial CE"/>
        <family val="0"/>
      </rPr>
      <t xml:space="preserve">  (Tiborc Ivett)</t>
    </r>
  </si>
  <si>
    <t>BEFŐTTES GUMI</t>
  </si>
  <si>
    <t>A/4 / SZÍNES</t>
  </si>
  <si>
    <t xml:space="preserve">MŰANYAG, OLDALT PATENTOS TASAK </t>
  </si>
  <si>
    <t>TB4 / BÉZS SZÍNŰ (BŐ A/4 MÉRET !!!)</t>
  </si>
  <si>
    <t>BORÍTÉK (TALPAS) EXTRA SZÉLES</t>
  </si>
  <si>
    <t>LEFŰZHETŐ (BORÍTÉK JELLEGŰ)</t>
  </si>
  <si>
    <t>GENOTHERMA (OLDALT FELNYÍLÓ) A/4</t>
  </si>
  <si>
    <t>GENOTHERMA (2 OLDALON FELNYÍLÓ) A/4</t>
  </si>
  <si>
    <t>MŰANYAG ZIPPZÁRAS TASAK</t>
  </si>
  <si>
    <t>ALUFÓLIA</t>
  </si>
  <si>
    <t>20 MÉTERES</t>
  </si>
  <si>
    <t>SZÖVEGKIEMELŐ (FABER CASTELL TEXTLINER)</t>
  </si>
  <si>
    <t>ÖNÁTÍRÓ TÖMB (50X2 LAPOS)</t>
  </si>
  <si>
    <t xml:space="preserve">GOLYÓSTOLL (SOLIDLY) </t>
  </si>
  <si>
    <t>GUMIS MAPPA (KEMÉNY FEDELŰ)</t>
  </si>
  <si>
    <t>A/4 (FÜZETTARTÓ)</t>
  </si>
  <si>
    <t>PENTEL ULTRA FINE ZÖLD</t>
  </si>
  <si>
    <t>TŰZŐGÉP (KIS KAPCSOS) JÓ MINŐSÉGŰ !</t>
  </si>
  <si>
    <t>EAGLE 204 (24/6 KAPCSOS) JÓ MINŐSÉGŰ !</t>
  </si>
  <si>
    <t>A/4 /FEHÉR VAGY SZŰRKE SZÍNBEN !</t>
  </si>
  <si>
    <t>ZÖLD SZÍNŰ HÁTLAPPAL</t>
  </si>
  <si>
    <t>FEHÉR SZÍNŰ HÁTLAPPAL</t>
  </si>
  <si>
    <t>GENOTHERMA (LEFŰZHETŐS) VÍZTISZTA !</t>
  </si>
  <si>
    <t>ZEBRA (KÉK SZÍNŰ)</t>
  </si>
  <si>
    <t>NORMÁL</t>
  </si>
  <si>
    <t>CD-RW LEMEZ (MŰANYAG VÉKONY TOKOS)</t>
  </si>
  <si>
    <t>ÉPÍTÉSI NAPLÓ (25X3)</t>
  </si>
  <si>
    <t>PÁTRIA</t>
  </si>
  <si>
    <r>
      <rPr>
        <sz val="8"/>
        <color indexed="17"/>
        <rFont val="Arial CE"/>
        <family val="0"/>
      </rPr>
      <t>vagyonvédelem</t>
    </r>
    <r>
      <rPr>
        <sz val="8"/>
        <rFont val="Arial CE"/>
        <family val="0"/>
      </rPr>
      <t xml:space="preserve"> </t>
    </r>
    <r>
      <rPr>
        <sz val="8"/>
        <color indexed="10"/>
        <rFont val="Arial CE"/>
        <family val="0"/>
      </rPr>
      <t xml:space="preserve"> 51</t>
    </r>
    <r>
      <rPr>
        <sz val="8"/>
        <rFont val="Arial CE"/>
        <family val="0"/>
      </rPr>
      <t xml:space="preserve"> (Bátori Imre)</t>
    </r>
  </si>
  <si>
    <r>
      <rPr>
        <sz val="8"/>
        <color indexed="17"/>
        <rFont val="Arial CE"/>
        <family val="0"/>
      </rPr>
      <t xml:space="preserve">piac </t>
    </r>
    <r>
      <rPr>
        <sz val="8"/>
        <color indexed="10"/>
        <rFont val="Arial CE"/>
        <family val="0"/>
      </rPr>
      <t xml:space="preserve"> 571</t>
    </r>
    <r>
      <rPr>
        <sz val="8"/>
        <rFont val="Arial CE"/>
        <family val="0"/>
      </rPr>
      <t xml:space="preserve"> (Ducsai Zoltán)</t>
    </r>
  </si>
  <si>
    <r>
      <t>Tiszalök / ifjúsági tábor</t>
    </r>
    <r>
      <rPr>
        <sz val="8"/>
        <color indexed="10"/>
        <rFont val="Arial CE"/>
        <family val="0"/>
      </rPr>
      <t xml:space="preserve">  54</t>
    </r>
    <r>
      <rPr>
        <sz val="8"/>
        <rFont val="Arial CE"/>
        <family val="0"/>
      </rPr>
      <t xml:space="preserve">  (Ducsai Zoltán)</t>
    </r>
  </si>
  <si>
    <r>
      <rPr>
        <sz val="8"/>
        <color indexed="17"/>
        <rFont val="Arial CE"/>
        <family val="0"/>
      </rPr>
      <t>Bogács / Villa Sederkyn</t>
    </r>
    <r>
      <rPr>
        <sz val="8"/>
        <rFont val="Arial CE"/>
        <family val="0"/>
      </rPr>
      <t xml:space="preserve"> </t>
    </r>
    <r>
      <rPr>
        <sz val="8"/>
        <color indexed="10"/>
        <rFont val="Arial CE"/>
        <family val="0"/>
      </rPr>
      <t xml:space="preserve"> 551  </t>
    </r>
    <r>
      <rPr>
        <sz val="8"/>
        <rFont val="Arial CE"/>
        <family val="0"/>
      </rPr>
      <t>(Veres Gábor)</t>
    </r>
  </si>
  <si>
    <r>
      <t xml:space="preserve">Veres Gábor </t>
    </r>
    <r>
      <rPr>
        <sz val="8"/>
        <color indexed="10"/>
        <rFont val="Century"/>
        <family val="1"/>
      </rPr>
      <t>65</t>
    </r>
  </si>
  <si>
    <t>LYUKASZTÓGÉP (SAX 408)</t>
  </si>
  <si>
    <t>1 :500 LÉPTÉKŰ</t>
  </si>
  <si>
    <t>GOLYÓSTOLL (GRAFO)</t>
  </si>
  <si>
    <t>GÖRBEHEGYŰ</t>
  </si>
  <si>
    <t>MŰANYAG IRATRENDEZŐ TÁLCA</t>
  </si>
  <si>
    <t>LEFŰZHETŐ(VÉKONY-ÁTLÁTSZÓ)</t>
  </si>
  <si>
    <t>LEFŰZHETŐ(VASTAG-ÁTLÁTSZÓ)</t>
  </si>
  <si>
    <t>GÉMKAPOCS ADAGOLÓ (MÁGNESES)</t>
  </si>
  <si>
    <t>4,2 MM SZÉLES / 5 MÉTERNÉL HOSSZABB !</t>
  </si>
  <si>
    <t>ASZTALI, FEKVŐ, A/4 EGYMÁSRA HELYEZHETŐ !</t>
  </si>
  <si>
    <t>s.sz.</t>
  </si>
  <si>
    <t xml:space="preserve">anyag megnevezés </t>
  </si>
  <si>
    <t>méret / egyéb megnevezés</t>
  </si>
  <si>
    <t>mennyiség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</si>
  <si>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</si>
  <si>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</si>
  <si>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</si>
  <si>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</si>
  <si>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</si>
  <si>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</si>
  <si>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</si>
  <si>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</si>
  <si>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</si>
  <si>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</si>
  <si>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</si>
  <si>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</si>
  <si>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</si>
  <si>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</si>
  <si>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</si>
  <si>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</si>
  <si>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</si>
  <si>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</si>
  <si>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</si>
  <si>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</si>
  <si>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</si>
  <si>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</si>
  <si>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</si>
  <si>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</si>
  <si>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</si>
  <si>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</si>
  <si>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</si>
  <si>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</si>
  <si>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</si>
  <si>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</si>
  <si>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</si>
  <si>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</si>
  <si>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</si>
  <si>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</si>
  <si>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</si>
  <si>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</si>
  <si>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</si>
  <si>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</si>
  <si>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</si>
  <si>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</si>
  <si>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</si>
  <si>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</si>
  <si>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</si>
  <si>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</si>
  <si>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</si>
  <si>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</si>
  <si>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</si>
  <si>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</si>
  <si>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</si>
  <si>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</si>
  <si>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</si>
  <si>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</si>
  <si>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</si>
  <si>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</si>
  <si>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</si>
  <si>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</si>
  <si>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</si>
  <si>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</si>
  <si>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</si>
  <si>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</si>
  <si>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</si>
  <si>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</si>
  <si>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</si>
  <si>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</si>
  <si>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</si>
  <si>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</si>
  <si>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</si>
  <si>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</si>
  <si>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</si>
  <si>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</si>
  <si>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</si>
  <si>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</si>
  <si>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</si>
  <si>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</si>
  <si>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</si>
  <si>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</si>
  <si>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</si>
  <si>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</si>
  <si>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</si>
  <si>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</si>
  <si>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</si>
  <si>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</si>
  <si>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</si>
  <si>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</si>
  <si>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</si>
  <si>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</si>
  <si>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</si>
  <si>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</si>
  <si>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</si>
  <si>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</si>
  <si>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</si>
  <si>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</si>
  <si>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</si>
  <si>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</si>
  <si>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</si>
  <si>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</si>
  <si>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</si>
  <si>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</si>
  <si>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</si>
  <si>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</si>
  <si>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</si>
  <si>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</si>
  <si>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</si>
  <si>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</si>
  <si>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</si>
  <si>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</si>
  <si>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</si>
  <si>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</si>
  <si>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</si>
  <si>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</si>
  <si>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</si>
  <si>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</si>
  <si>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</si>
  <si>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</si>
  <si>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</si>
  <si>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</si>
  <si>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</si>
  <si>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</si>
  <si>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</si>
  <si>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</si>
  <si>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</si>
  <si>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</si>
  <si>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</si>
  <si>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</si>
  <si>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</si>
  <si>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</si>
  <si>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</si>
  <si>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</si>
  <si>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</si>
  <si>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</si>
  <si>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</si>
  <si>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</si>
  <si>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</si>
  <si>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</si>
  <si>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</si>
  <si>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</si>
  <si>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</si>
  <si>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egységár (Ft)</t>
  </si>
  <si>
    <t>érték (Ft)</t>
  </si>
  <si>
    <t xml:space="preserve"> összesen:</t>
  </si>
  <si>
    <t>2011  2/4 ÉVES ÍRÓSZER ÁRAJÁNLAT BEKÉRÉS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</si>
</sst>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color indexed="17"/>
      <name val="Arial CE"/>
      <family val="0"/>
    </font>
    <font>
      <sz val="8"/>
      <color indexed="60"/>
      <name val="Arial CE"/>
      <family val="0"/>
    </font>
    <font>
      <sz val="8"/>
      <color indexed="3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53"/>
      <name val="Arial CE"/>
      <family val="0"/>
    </font>
    <font>
      <sz val="10"/>
      <color indexed="53"/>
      <name val="Arial CE"/>
      <family val="0"/>
    </font>
    <font>
      <sz val="8"/>
      <color indexed="10"/>
      <name val="Times New Roman"/>
      <family val="1"/>
    </font>
    <font>
      <sz val="8"/>
      <color indexed="57"/>
      <name val="Arial CE"/>
      <family val="0"/>
    </font>
    <font>
      <sz val="8"/>
      <name val="Century"/>
      <family val="1"/>
    </font>
    <font>
      <sz val="8"/>
      <color indexed="10"/>
      <name val="Century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24" borderId="10" xfId="0" applyFont="1" applyFill="1" applyBorder="1" applyAlignment="1">
      <alignment horizontal="center" vertical="center" textRotation="180"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180"/>
    </xf>
    <xf numFmtId="0" fontId="3" fillId="24" borderId="11" xfId="0" applyFont="1" applyFill="1" applyBorder="1" applyAlignment="1">
      <alignment horizontal="center" vertical="center" textRotation="180"/>
    </xf>
    <xf numFmtId="0" fontId="6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25" borderId="10" xfId="0" applyFont="1" applyFill="1" applyBorder="1" applyAlignment="1">
      <alignment horizontal="left"/>
    </xf>
    <xf numFmtId="0" fontId="17" fillId="24" borderId="10" xfId="0" applyFont="1" applyFill="1" applyBorder="1" applyAlignment="1">
      <alignment/>
    </xf>
    <xf numFmtId="0" fontId="5" fillId="24" borderId="12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0" fontId="1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9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right"/>
    </xf>
    <xf numFmtId="0" fontId="17" fillId="24" borderId="10" xfId="0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12" fillId="25" borderId="10" xfId="0" applyFont="1" applyFill="1" applyBorder="1" applyAlignment="1">
      <alignment horizontal="center" vertical="center" textRotation="180"/>
    </xf>
    <xf numFmtId="0" fontId="3" fillId="25" borderId="10" xfId="0" applyFont="1" applyFill="1" applyBorder="1" applyAlignment="1">
      <alignment horizontal="center" vertical="center" textRotation="180"/>
    </xf>
    <xf numFmtId="0" fontId="15" fillId="25" borderId="10" xfId="0" applyFont="1" applyFill="1" applyBorder="1" applyAlignment="1">
      <alignment horizontal="center" vertical="center" textRotation="180"/>
    </xf>
    <xf numFmtId="0" fontId="11" fillId="25" borderId="10" xfId="0" applyFont="1" applyFill="1" applyBorder="1" applyAlignment="1">
      <alignment horizontal="center" vertical="center" textRotation="180"/>
    </xf>
    <xf numFmtId="0" fontId="11" fillId="25" borderId="10" xfId="0" applyFont="1" applyFill="1" applyBorder="1" applyAlignment="1">
      <alignment horizontal="center" vertical="center" textRotation="180"/>
    </xf>
    <xf numFmtId="0" fontId="18" fillId="25" borderId="10" xfId="0" applyFont="1" applyFill="1" applyBorder="1" applyAlignment="1">
      <alignment horizontal="center" vertical="center" textRotation="180"/>
    </xf>
    <xf numFmtId="0" fontId="10" fillId="25" borderId="10" xfId="0" applyFont="1" applyFill="1" applyBorder="1" applyAlignment="1">
      <alignment horizontal="center" vertical="center" textRotation="180"/>
    </xf>
    <xf numFmtId="0" fontId="12" fillId="24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 vertical="center" textRotation="180"/>
    </xf>
    <xf numFmtId="0" fontId="19" fillId="25" borderId="10" xfId="0" applyFont="1" applyFill="1" applyBorder="1" applyAlignment="1">
      <alignment horizontal="center" vertical="center" textRotation="180"/>
    </xf>
    <xf numFmtId="0" fontId="9" fillId="25" borderId="10" xfId="0" applyFont="1" applyFill="1" applyBorder="1" applyAlignment="1">
      <alignment horizontal="center" vertical="center" textRotation="180"/>
    </xf>
    <xf numFmtId="0" fontId="3" fillId="0" borderId="0" xfId="0" applyFont="1" applyBorder="1" applyAlignment="1">
      <alignment horizontal="left"/>
    </xf>
    <xf numFmtId="0" fontId="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24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24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24" borderId="12" xfId="0" applyFont="1" applyFill="1" applyBorder="1" applyAlignment="1">
      <alignment horizontal="center"/>
    </xf>
    <xf numFmtId="0" fontId="11" fillId="24" borderId="18" xfId="0" applyFont="1" applyFill="1" applyBorder="1" applyAlignment="1">
      <alignment horizontal="center"/>
    </xf>
    <xf numFmtId="0" fontId="11" fillId="24" borderId="11" xfId="0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5" borderId="12" xfId="0" applyFont="1" applyFill="1" applyBorder="1" applyAlignment="1">
      <alignment/>
    </xf>
    <xf numFmtId="0" fontId="3" fillId="25" borderId="19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4" borderId="20" xfId="0" applyFont="1" applyFill="1" applyBorder="1" applyAlignment="1">
      <alignment horizontal="left"/>
    </xf>
    <xf numFmtId="0" fontId="3" fillId="24" borderId="21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 vertical="center" textRotation="180"/>
    </xf>
    <xf numFmtId="0" fontId="3" fillId="24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24" borderId="10" xfId="0" applyNumberFormat="1" applyFont="1" applyFill="1" applyBorder="1" applyAlignment="1">
      <alignment wrapText="1"/>
    </xf>
    <xf numFmtId="0" fontId="5" fillId="24" borderId="10" xfId="0" applyFont="1" applyFill="1" applyBorder="1" applyAlignment="1">
      <alignment horizontal="left" wrapText="1"/>
    </xf>
    <xf numFmtId="0" fontId="5" fillId="24" borderId="0" xfId="0" applyFont="1" applyFill="1" applyAlignment="1">
      <alignment wrapText="1"/>
    </xf>
    <xf numFmtId="0" fontId="5" fillId="24" borderId="11" xfId="0" applyFont="1" applyFill="1" applyBorder="1" applyAlignment="1">
      <alignment wrapText="1"/>
    </xf>
    <xf numFmtId="0" fontId="3" fillId="25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M1344"/>
  <sheetViews>
    <sheetView tabSelected="1" zoomScalePageLayoutView="0" workbookViewId="0" topLeftCell="B1">
      <selection activeCell="DF39" sqref="DF39"/>
    </sheetView>
  </sheetViews>
  <sheetFormatPr defaultColWidth="9.00390625" defaultRowHeight="12.75"/>
  <cols>
    <col min="1" max="1" width="7.25390625" style="21" hidden="1" customWidth="1"/>
    <col min="2" max="2" width="4.75390625" style="62" bestFit="1" customWidth="1"/>
    <col min="3" max="3" width="24.00390625" style="106" customWidth="1"/>
    <col min="4" max="4" width="22.625" style="106" customWidth="1"/>
    <col min="5" max="5" width="3.375" style="6" hidden="1" customWidth="1"/>
    <col min="6" max="6" width="3.25390625" style="6" hidden="1" customWidth="1"/>
    <col min="7" max="7" width="3.625" style="6" hidden="1" customWidth="1"/>
    <col min="8" max="8" width="3.00390625" style="9" hidden="1" customWidth="1"/>
    <col min="9" max="9" width="3.00390625" style="6" hidden="1" customWidth="1"/>
    <col min="10" max="10" width="4.25390625" style="6" hidden="1" customWidth="1"/>
    <col min="11" max="11" width="3.375" style="6" hidden="1" customWidth="1"/>
    <col min="12" max="12" width="3.25390625" style="6" hidden="1" customWidth="1"/>
    <col min="13" max="13" width="3.00390625" style="8" hidden="1" customWidth="1"/>
    <col min="14" max="14" width="3.00390625" style="2" hidden="1" customWidth="1"/>
    <col min="15" max="15" width="3.00390625" style="6" hidden="1" customWidth="1"/>
    <col min="16" max="17" width="3.00390625" style="2" hidden="1" customWidth="1"/>
    <col min="18" max="18" width="3.625" style="6" hidden="1" customWidth="1"/>
    <col min="19" max="20" width="3.00390625" style="6" hidden="1" customWidth="1"/>
    <col min="21" max="21" width="3.25390625" style="6" hidden="1" customWidth="1"/>
    <col min="22" max="23" width="3.00390625" style="6" hidden="1" customWidth="1"/>
    <col min="24" max="24" width="3.375" style="6" hidden="1" customWidth="1"/>
    <col min="25" max="25" width="3.625" style="6" hidden="1" customWidth="1"/>
    <col min="26" max="26" width="3.375" style="6" hidden="1" customWidth="1"/>
    <col min="27" max="27" width="3.25390625" style="6" hidden="1" customWidth="1"/>
    <col min="28" max="29" width="3.00390625" style="6" hidden="1" customWidth="1"/>
    <col min="30" max="30" width="3.375" style="14" hidden="1" customWidth="1"/>
    <col min="31" max="37" width="3.375" style="6" hidden="1" customWidth="1"/>
    <col min="38" max="38" width="3.625" style="6" hidden="1" customWidth="1"/>
    <col min="39" max="39" width="3.25390625" style="6" hidden="1" customWidth="1"/>
    <col min="40" max="40" width="3.25390625" style="3" hidden="1" customWidth="1"/>
    <col min="41" max="41" width="3.375" style="2" hidden="1" customWidth="1"/>
    <col min="42" max="42" width="3.375" style="8" hidden="1" customWidth="1"/>
    <col min="43" max="43" width="3.375" style="2" hidden="1" customWidth="1"/>
    <col min="44" max="44" width="3.00390625" style="6" hidden="1" customWidth="1"/>
    <col min="45" max="45" width="3.375" style="6" hidden="1" customWidth="1"/>
    <col min="46" max="46" width="3.00390625" style="6" hidden="1" customWidth="1"/>
    <col min="47" max="47" width="3.625" style="6" hidden="1" customWidth="1"/>
    <col min="48" max="48" width="3.375" style="6" hidden="1" customWidth="1"/>
    <col min="49" max="49" width="3.625" style="6" hidden="1" customWidth="1"/>
    <col min="50" max="51" width="3.375" style="6" hidden="1" customWidth="1"/>
    <col min="52" max="55" width="3.375" style="26" hidden="1" customWidth="1"/>
    <col min="56" max="58" width="3.375" style="6" hidden="1" customWidth="1"/>
    <col min="59" max="60" width="3.375" style="2" hidden="1" customWidth="1"/>
    <col min="61" max="64" width="3.375" style="6" hidden="1" customWidth="1"/>
    <col min="65" max="65" width="6.625" style="33" customWidth="1"/>
    <col min="66" max="66" width="5.625" style="33" customWidth="1"/>
    <col min="67" max="67" width="11.25390625" style="92" customWidth="1"/>
    <col min="68" max="68" width="11.75390625" style="62" customWidth="1"/>
    <col min="69" max="75" width="3.00390625" style="1" hidden="1" customWidth="1"/>
    <col min="76" max="106" width="0" style="1" hidden="1" customWidth="1"/>
    <col min="107" max="16384" width="9.125" style="1" customWidth="1"/>
  </cols>
  <sheetData>
    <row r="1" spans="1:69" ht="11.25">
      <c r="A1" s="48"/>
      <c r="B1" s="54"/>
      <c r="C1" s="96"/>
      <c r="D1" s="96"/>
      <c r="E1" s="36"/>
      <c r="F1" s="36"/>
      <c r="G1" s="36"/>
      <c r="H1" s="49"/>
      <c r="I1" s="36"/>
      <c r="J1" s="36"/>
      <c r="K1" s="36"/>
      <c r="L1" s="36"/>
      <c r="M1" s="50"/>
      <c r="N1" s="51"/>
      <c r="O1" s="36"/>
      <c r="P1" s="51"/>
      <c r="Q1" s="51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52"/>
      <c r="AO1" s="51"/>
      <c r="AP1" s="50"/>
      <c r="AQ1" s="51"/>
      <c r="AR1" s="36"/>
      <c r="AS1" s="36"/>
      <c r="AT1" s="36"/>
      <c r="AU1" s="36"/>
      <c r="AV1" s="36"/>
      <c r="AW1" s="36"/>
      <c r="AX1" s="36"/>
      <c r="AY1" s="36"/>
      <c r="AZ1" s="53"/>
      <c r="BA1" s="53"/>
      <c r="BB1" s="53"/>
      <c r="BC1" s="53"/>
      <c r="BD1" s="36"/>
      <c r="BE1" s="36"/>
      <c r="BF1" s="36"/>
      <c r="BG1" s="51"/>
      <c r="BH1" s="51"/>
      <c r="BI1" s="36"/>
      <c r="BJ1" s="36"/>
      <c r="BK1" s="36"/>
      <c r="BL1" s="36"/>
      <c r="BM1" s="113"/>
      <c r="BN1" s="113"/>
      <c r="BO1" s="89"/>
      <c r="BP1" s="90"/>
      <c r="BQ1" s="63"/>
    </row>
    <row r="2" spans="1:69" ht="11.25">
      <c r="A2" s="68" t="s">
        <v>382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3"/>
    </row>
    <row r="3" spans="1:69" ht="11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3"/>
    </row>
    <row r="4" spans="1:69" ht="12.75">
      <c r="A4" s="64"/>
      <c r="B4" s="64"/>
      <c r="C4" s="97"/>
      <c r="D4" s="9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91"/>
      <c r="BN4" s="91"/>
      <c r="BO4" s="91"/>
      <c r="BP4" s="91"/>
      <c r="BQ4" s="63"/>
    </row>
    <row r="5" spans="1:68" s="108" customFormat="1" ht="33" customHeight="1">
      <c r="A5" s="107"/>
      <c r="B5" s="108" t="s">
        <v>238</v>
      </c>
      <c r="C5" s="108" t="s">
        <v>239</v>
      </c>
      <c r="D5" s="108" t="s">
        <v>240</v>
      </c>
      <c r="M5" s="109"/>
      <c r="AN5" s="109"/>
      <c r="AP5" s="109"/>
      <c r="AZ5" s="110"/>
      <c r="BA5" s="110"/>
      <c r="BB5" s="110"/>
      <c r="BC5" s="110"/>
      <c r="BM5" s="111" t="s">
        <v>241</v>
      </c>
      <c r="BN5" s="112"/>
      <c r="BO5" s="108" t="s">
        <v>379</v>
      </c>
      <c r="BP5" s="108" t="s">
        <v>380</v>
      </c>
    </row>
    <row r="6" spans="1:68" s="9" customFormat="1" ht="12.75" customHeight="1" hidden="1">
      <c r="A6" s="85" t="s">
        <v>0</v>
      </c>
      <c r="B6" s="56"/>
      <c r="C6" s="98" t="s">
        <v>3</v>
      </c>
      <c r="D6" s="98" t="s">
        <v>5</v>
      </c>
      <c r="E6" s="44" t="s">
        <v>110</v>
      </c>
      <c r="F6" s="44"/>
      <c r="G6" s="44"/>
      <c r="H6" s="44"/>
      <c r="I6" s="44"/>
      <c r="J6" s="75" t="s">
        <v>111</v>
      </c>
      <c r="K6" s="76"/>
      <c r="L6" s="76"/>
      <c r="M6" s="77"/>
      <c r="N6" s="77"/>
      <c r="O6" s="77"/>
      <c r="P6" s="78"/>
      <c r="Q6" s="79" t="s">
        <v>112</v>
      </c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0"/>
      <c r="AR6" s="70" t="s">
        <v>114</v>
      </c>
      <c r="AS6" s="71"/>
      <c r="AT6" s="71"/>
      <c r="AU6" s="71"/>
      <c r="AV6" s="71"/>
      <c r="AW6" s="72"/>
      <c r="AX6" s="79" t="s">
        <v>118</v>
      </c>
      <c r="AY6" s="80"/>
      <c r="AZ6" s="70" t="s">
        <v>117</v>
      </c>
      <c r="BA6" s="71"/>
      <c r="BB6" s="71"/>
      <c r="BC6" s="72"/>
      <c r="BD6" s="79" t="s">
        <v>119</v>
      </c>
      <c r="BE6" s="88"/>
      <c r="BF6" s="80"/>
      <c r="BG6" s="70" t="s">
        <v>120</v>
      </c>
      <c r="BH6" s="71"/>
      <c r="BI6" s="72"/>
      <c r="BJ6" s="31" t="s">
        <v>122</v>
      </c>
      <c r="BK6" s="73" t="s">
        <v>121</v>
      </c>
      <c r="BL6" s="74"/>
      <c r="BM6" s="87" t="s">
        <v>4</v>
      </c>
      <c r="BN6" s="55"/>
      <c r="BO6" s="55"/>
      <c r="BP6" s="55"/>
    </row>
    <row r="7" spans="1:75" s="9" customFormat="1" ht="192" customHeight="1" hidden="1">
      <c r="A7" s="86"/>
      <c r="B7" s="57"/>
      <c r="C7" s="98"/>
      <c r="D7" s="98"/>
      <c r="E7" s="37" t="s">
        <v>170</v>
      </c>
      <c r="F7" s="37" t="s">
        <v>184</v>
      </c>
      <c r="G7" s="37" t="s">
        <v>178</v>
      </c>
      <c r="H7" s="37" t="s">
        <v>186</v>
      </c>
      <c r="I7" s="37" t="s">
        <v>113</v>
      </c>
      <c r="J7" s="42" t="s">
        <v>194</v>
      </c>
      <c r="K7" s="43" t="s">
        <v>179</v>
      </c>
      <c r="L7" s="43" t="s">
        <v>180</v>
      </c>
      <c r="M7" s="45" t="s">
        <v>225</v>
      </c>
      <c r="N7" s="38" t="s">
        <v>226</v>
      </c>
      <c r="O7" s="38" t="s">
        <v>224</v>
      </c>
      <c r="P7" s="38" t="s">
        <v>223</v>
      </c>
      <c r="Q7" s="38" t="s">
        <v>144</v>
      </c>
      <c r="R7" s="38" t="s">
        <v>145</v>
      </c>
      <c r="S7" s="38" t="s">
        <v>146</v>
      </c>
      <c r="T7" s="38" t="s">
        <v>148</v>
      </c>
      <c r="U7" s="38" t="s">
        <v>147</v>
      </c>
      <c r="V7" s="38" t="s">
        <v>149</v>
      </c>
      <c r="W7" s="46" t="s">
        <v>227</v>
      </c>
      <c r="X7" s="38" t="s">
        <v>150</v>
      </c>
      <c r="Y7" s="38" t="s">
        <v>151</v>
      </c>
      <c r="Z7" s="38" t="s">
        <v>152</v>
      </c>
      <c r="AA7" s="38" t="s">
        <v>153</v>
      </c>
      <c r="AB7" s="38" t="s">
        <v>154</v>
      </c>
      <c r="AC7" s="38" t="s">
        <v>155</v>
      </c>
      <c r="AD7" s="12"/>
      <c r="AE7" s="11"/>
      <c r="AF7" s="11"/>
      <c r="AG7" s="11"/>
      <c r="AH7" s="11"/>
      <c r="AI7" s="11"/>
      <c r="AJ7" s="11"/>
      <c r="AK7" s="11"/>
      <c r="AL7" s="4"/>
      <c r="AM7" s="4"/>
      <c r="AN7" s="4"/>
      <c r="AO7" s="11"/>
      <c r="AP7" s="4"/>
      <c r="AQ7" s="4"/>
      <c r="AR7" s="38" t="s">
        <v>166</v>
      </c>
      <c r="AS7" s="38" t="s">
        <v>165</v>
      </c>
      <c r="AT7" s="47" t="s">
        <v>185</v>
      </c>
      <c r="AU7" s="38" t="s">
        <v>189</v>
      </c>
      <c r="AV7" s="38" t="s">
        <v>167</v>
      </c>
      <c r="AW7" s="38" t="s">
        <v>159</v>
      </c>
      <c r="AX7" s="38" t="s">
        <v>181</v>
      </c>
      <c r="AY7" s="38" t="s">
        <v>182</v>
      </c>
      <c r="AZ7" s="40" t="s">
        <v>115</v>
      </c>
      <c r="BA7" s="41" t="s">
        <v>168</v>
      </c>
      <c r="BB7" s="40" t="s">
        <v>116</v>
      </c>
      <c r="BC7" s="41" t="s">
        <v>169</v>
      </c>
      <c r="BD7" s="38" t="s">
        <v>187</v>
      </c>
      <c r="BE7" s="38" t="s">
        <v>183</v>
      </c>
      <c r="BF7" s="38" t="s">
        <v>188</v>
      </c>
      <c r="BG7" s="40" t="s">
        <v>156</v>
      </c>
      <c r="BH7" s="40" t="s">
        <v>157</v>
      </c>
      <c r="BI7" s="41" t="s">
        <v>158</v>
      </c>
      <c r="BJ7" s="38" t="s">
        <v>161</v>
      </c>
      <c r="BK7" s="39" t="s">
        <v>160</v>
      </c>
      <c r="BL7" s="39" t="s">
        <v>103</v>
      </c>
      <c r="BM7" s="87"/>
      <c r="BN7" s="11" t="s">
        <v>37</v>
      </c>
      <c r="BO7" s="11"/>
      <c r="BP7" s="4"/>
      <c r="BQ7" s="11"/>
      <c r="BR7" s="11"/>
      <c r="BS7" s="4"/>
      <c r="BT7" s="4"/>
      <c r="BU7" s="4"/>
      <c r="BV7" s="4"/>
      <c r="BW7" s="4"/>
    </row>
    <row r="8" spans="1:68" s="10" customFormat="1" ht="11.25" hidden="1">
      <c r="A8" s="25" t="str">
        <f>"09962"</f>
        <v>09962</v>
      </c>
      <c r="B8" s="58"/>
      <c r="C8" s="99" t="str">
        <f>"AJÁNDÉK TASAK"</f>
        <v>AJÁNDÉK TASAK</v>
      </c>
      <c r="D8" s="99"/>
      <c r="E8" s="5"/>
      <c r="F8" s="5"/>
      <c r="G8" s="5"/>
      <c r="H8" s="28" t="s">
        <v>73</v>
      </c>
      <c r="I8" s="28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3"/>
      <c r="AE8" s="5"/>
      <c r="AF8" s="5"/>
      <c r="AG8" s="5"/>
      <c r="AH8" s="5"/>
      <c r="AI8" s="5"/>
      <c r="AJ8" s="5"/>
      <c r="AK8" s="5"/>
      <c r="AL8" s="5"/>
      <c r="AM8" s="5"/>
      <c r="AN8" s="7"/>
      <c r="AO8" s="5"/>
      <c r="AP8" s="7"/>
      <c r="AQ8" s="5"/>
      <c r="AR8" s="5"/>
      <c r="AS8" s="5"/>
      <c r="AT8" s="5"/>
      <c r="AU8" s="5"/>
      <c r="AV8" s="5"/>
      <c r="AW8" s="5"/>
      <c r="AX8" s="5"/>
      <c r="AY8" s="5"/>
      <c r="AZ8" s="29"/>
      <c r="BA8" s="29"/>
      <c r="BB8" s="29"/>
      <c r="BC8" s="29"/>
      <c r="BD8" s="5"/>
      <c r="BE8" s="5"/>
      <c r="BF8" s="5"/>
      <c r="BG8" s="5"/>
      <c r="BH8" s="5"/>
      <c r="BI8" s="5"/>
      <c r="BJ8" s="5"/>
      <c r="BK8" s="5"/>
      <c r="BL8" s="5"/>
      <c r="BM8" s="28"/>
      <c r="BN8" s="28"/>
      <c r="BO8" s="28"/>
      <c r="BP8" s="58"/>
    </row>
    <row r="9" spans="1:68" s="10" customFormat="1" ht="11.25" hidden="1">
      <c r="A9" s="25" t="str">
        <f>"07442"</f>
        <v>07442</v>
      </c>
      <c r="B9" s="58"/>
      <c r="C9" s="99" t="str">
        <f>"ALÁÍRÓKÖNYV (A4)"</f>
        <v>ALÁÍRÓKÖNYV (A4)</v>
      </c>
      <c r="D9" s="99" t="str">
        <f>"SAVARIA"</f>
        <v>SAVARIA</v>
      </c>
      <c r="E9" s="5"/>
      <c r="F9" s="5"/>
      <c r="G9" s="5"/>
      <c r="H9" s="28" t="s">
        <v>73</v>
      </c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3"/>
      <c r="AE9" s="5"/>
      <c r="AF9" s="5"/>
      <c r="AG9" s="5"/>
      <c r="AH9" s="5"/>
      <c r="AI9" s="5"/>
      <c r="AJ9" s="5"/>
      <c r="AK9" s="5"/>
      <c r="AL9" s="5"/>
      <c r="AM9" s="5"/>
      <c r="AN9" s="7"/>
      <c r="AO9" s="5"/>
      <c r="AP9" s="7"/>
      <c r="AQ9" s="5"/>
      <c r="AR9" s="5"/>
      <c r="AS9" s="5"/>
      <c r="AT9" s="5"/>
      <c r="AU9" s="5"/>
      <c r="AV9" s="5"/>
      <c r="AW9" s="5"/>
      <c r="AX9" s="5"/>
      <c r="AY9" s="5"/>
      <c r="AZ9" s="29"/>
      <c r="BA9" s="29"/>
      <c r="BB9" s="29"/>
      <c r="BC9" s="29"/>
      <c r="BD9" s="5"/>
      <c r="BE9" s="5"/>
      <c r="BF9" s="5"/>
      <c r="BG9" s="5"/>
      <c r="BH9" s="5"/>
      <c r="BI9" s="5"/>
      <c r="BJ9" s="5"/>
      <c r="BK9" s="5"/>
      <c r="BL9" s="5"/>
      <c r="BM9" s="28"/>
      <c r="BN9" s="28"/>
      <c r="BO9" s="28"/>
      <c r="BP9" s="58"/>
    </row>
    <row r="10" spans="1:68" s="9" customFormat="1" ht="11.25">
      <c r="A10" s="27">
        <v>2458</v>
      </c>
      <c r="B10" s="55" t="s">
        <v>242</v>
      </c>
      <c r="C10" s="100" t="s">
        <v>204</v>
      </c>
      <c r="D10" s="100" t="s">
        <v>205</v>
      </c>
      <c r="E10" s="6"/>
      <c r="F10" s="6">
        <v>2</v>
      </c>
      <c r="G10" s="6"/>
      <c r="I10" s="6"/>
      <c r="J10" s="6"/>
      <c r="K10" s="6"/>
      <c r="L10" s="6"/>
      <c r="M10" s="6"/>
      <c r="N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4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33">
        <f>SUM(E10:BL10)</f>
        <v>2</v>
      </c>
      <c r="BN10" s="33" t="s">
        <v>48</v>
      </c>
      <c r="BO10" s="33"/>
      <c r="BP10" s="55"/>
    </row>
    <row r="11" spans="1:68" s="9" customFormat="1" ht="11.25" hidden="1">
      <c r="A11" s="25" t="str">
        <f>"09263"</f>
        <v>09263</v>
      </c>
      <c r="B11" s="58"/>
      <c r="C11" s="99" t="str">
        <f>"ARCHIVÁLÓ KONTÉNER"</f>
        <v>ARCHIVÁLÓ KONTÉNER</v>
      </c>
      <c r="D11" s="99"/>
      <c r="E11" s="6"/>
      <c r="F11" s="6"/>
      <c r="G11" s="6"/>
      <c r="H11" s="28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4"/>
      <c r="AE11" s="6"/>
      <c r="AF11" s="6"/>
      <c r="AG11" s="6"/>
      <c r="AH11" s="6"/>
      <c r="AI11" s="6"/>
      <c r="AJ11" s="6"/>
      <c r="AK11" s="6"/>
      <c r="AL11" s="6"/>
      <c r="AM11" s="6"/>
      <c r="AN11" s="28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33">
        <f aca="true" t="shared" si="0" ref="BM11:BM48">SUM(E11:BL11)</f>
        <v>0</v>
      </c>
      <c r="BN11" s="33"/>
      <c r="BO11" s="33"/>
      <c r="BP11" s="55"/>
    </row>
    <row r="12" spans="1:68" s="9" customFormat="1" ht="11.25" hidden="1">
      <c r="A12" s="25" t="str">
        <f>"07596"</f>
        <v>07596</v>
      </c>
      <c r="B12" s="58"/>
      <c r="C12" s="99" t="str">
        <f>"ÁTÍRÓTÖMB"</f>
        <v>ÁTÍRÓTÖMB</v>
      </c>
      <c r="D12" s="99" t="str">
        <f>"A/5 (50X3)"</f>
        <v>A/5 (50X3)</v>
      </c>
      <c r="E12" s="6"/>
      <c r="F12" s="6"/>
      <c r="G12" s="6"/>
      <c r="H12" s="28"/>
      <c r="I12" s="6"/>
      <c r="J12" s="6"/>
      <c r="K12" s="6"/>
      <c r="L12" s="6"/>
      <c r="M12" s="6"/>
      <c r="N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4"/>
      <c r="AE12" s="6"/>
      <c r="AF12" s="6"/>
      <c r="AG12" s="6"/>
      <c r="AH12" s="6"/>
      <c r="AI12" s="6"/>
      <c r="AJ12" s="6"/>
      <c r="AK12" s="6"/>
      <c r="AL12" s="6"/>
      <c r="AM12" s="6"/>
      <c r="AN12" s="28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33">
        <f t="shared" si="0"/>
        <v>0</v>
      </c>
      <c r="BN12" s="33"/>
      <c r="BO12" s="33"/>
      <c r="BP12" s="55"/>
    </row>
    <row r="13" spans="1:68" s="9" customFormat="1" ht="11.25" hidden="1">
      <c r="A13" s="25" t="str">
        <f>"11697"</f>
        <v>11697</v>
      </c>
      <c r="B13" s="58"/>
      <c r="C13" s="99" t="str">
        <f>"ÁTÍRÓTÖMB (ÖNÁTÍRÓS)"</f>
        <v>ÁTÍRÓTÖMB (ÖNÁTÍRÓS)</v>
      </c>
      <c r="D13" s="99" t="str">
        <f>"A/4 (50X2)"</f>
        <v>A/4 (50X2)</v>
      </c>
      <c r="E13" s="6"/>
      <c r="F13" s="6"/>
      <c r="G13" s="6"/>
      <c r="H13" s="28"/>
      <c r="I13" s="6"/>
      <c r="J13" s="6"/>
      <c r="K13" s="6"/>
      <c r="L13" s="6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4"/>
      <c r="AE13" s="6"/>
      <c r="AF13" s="6"/>
      <c r="AG13" s="6"/>
      <c r="AH13" s="6"/>
      <c r="AI13" s="6"/>
      <c r="AJ13" s="6"/>
      <c r="AK13" s="6"/>
      <c r="AL13" s="6"/>
      <c r="AM13" s="6"/>
      <c r="AN13" s="28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33">
        <f t="shared" si="0"/>
        <v>0</v>
      </c>
      <c r="BN13" s="33"/>
      <c r="BO13" s="33"/>
      <c r="BP13" s="55"/>
    </row>
    <row r="14" spans="1:68" s="10" customFormat="1" ht="22.5" hidden="1">
      <c r="A14" s="25" t="str">
        <f>"08078"</f>
        <v>08078</v>
      </c>
      <c r="B14" s="58"/>
      <c r="C14" s="99" t="str">
        <f>"BELFÖLDI KIKÜLDETÉSI RENDELVÉNY"</f>
        <v>BELFÖLDI KIKÜLDETÉSI RENDELVÉNY</v>
      </c>
      <c r="D14" s="99" t="str">
        <f>"(B.18-70/új)"</f>
        <v>(B.18-70/új)</v>
      </c>
      <c r="E14" s="5"/>
      <c r="F14" s="5"/>
      <c r="G14" s="5"/>
      <c r="H14" s="28"/>
      <c r="I14" s="5"/>
      <c r="J14" s="5"/>
      <c r="K14" s="5"/>
      <c r="L14" s="5"/>
      <c r="M14" s="5"/>
      <c r="N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3"/>
      <c r="AE14" s="5"/>
      <c r="AF14" s="5"/>
      <c r="AG14" s="5"/>
      <c r="AH14" s="5"/>
      <c r="AI14" s="5"/>
      <c r="AJ14" s="5"/>
      <c r="AK14" s="5"/>
      <c r="AL14" s="5"/>
      <c r="AM14" s="5"/>
      <c r="AN14" s="28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33">
        <f t="shared" si="0"/>
        <v>0</v>
      </c>
      <c r="BN14" s="33"/>
      <c r="BO14" s="28"/>
      <c r="BP14" s="58"/>
    </row>
    <row r="15" spans="1:68" s="10" customFormat="1" ht="11.25" hidden="1">
      <c r="A15" s="25" t="str">
        <f>"13629"</f>
        <v>13629</v>
      </c>
      <c r="B15" s="58"/>
      <c r="C15" s="99" t="str">
        <f>"BÉLYEGZŐ"</f>
        <v>BÉLYEGZŐ</v>
      </c>
      <c r="D15" s="99" t="str">
        <f>"COLOP 20"</f>
        <v>COLOP 20</v>
      </c>
      <c r="E15" s="5"/>
      <c r="F15" s="5"/>
      <c r="G15" s="5"/>
      <c r="H15" s="28"/>
      <c r="I15" s="5"/>
      <c r="J15" s="5"/>
      <c r="K15" s="5"/>
      <c r="L15" s="5"/>
      <c r="M15" s="5"/>
      <c r="N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3"/>
      <c r="AE15" s="5"/>
      <c r="AF15" s="5"/>
      <c r="AG15" s="5"/>
      <c r="AH15" s="5"/>
      <c r="AI15" s="5"/>
      <c r="AJ15" s="5"/>
      <c r="AK15" s="5"/>
      <c r="AL15" s="5"/>
      <c r="AM15" s="5"/>
      <c r="AN15" s="28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33">
        <f t="shared" si="0"/>
        <v>0</v>
      </c>
      <c r="BN15" s="33"/>
      <c r="BO15" s="28"/>
      <c r="BP15" s="58"/>
    </row>
    <row r="16" spans="1:68" s="10" customFormat="1" ht="11.25" hidden="1">
      <c r="A16" s="25" t="str">
        <f>"09947"</f>
        <v>09947</v>
      </c>
      <c r="B16" s="58"/>
      <c r="C16" s="99" t="str">
        <f>"BÉLYEGZŐ (DÁTUM)"</f>
        <v>BÉLYEGZŐ (DÁTUM)</v>
      </c>
      <c r="D16" s="99" t="str">
        <f>"COLOP S120"</f>
        <v>COLOP S120</v>
      </c>
      <c r="E16" s="5"/>
      <c r="F16" s="5"/>
      <c r="G16" s="5"/>
      <c r="H16" s="28"/>
      <c r="I16" s="5"/>
      <c r="J16" s="5"/>
      <c r="K16" s="5"/>
      <c r="L16" s="5"/>
      <c r="M16" s="5"/>
      <c r="N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3"/>
      <c r="AE16" s="5"/>
      <c r="AF16" s="5"/>
      <c r="AG16" s="5"/>
      <c r="AH16" s="5"/>
      <c r="AI16" s="5"/>
      <c r="AJ16" s="5"/>
      <c r="AK16" s="5"/>
      <c r="AL16" s="5"/>
      <c r="AM16" s="5"/>
      <c r="AN16" s="28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33">
        <f t="shared" si="0"/>
        <v>0</v>
      </c>
      <c r="BN16" s="33"/>
      <c r="BO16" s="28"/>
      <c r="BP16" s="58"/>
    </row>
    <row r="17" spans="1:68" s="10" customFormat="1" ht="11.25" hidden="1">
      <c r="A17" s="25" t="str">
        <f>"08618"</f>
        <v>08618</v>
      </c>
      <c r="B17" s="58"/>
      <c r="C17" s="99" t="str">
        <f aca="true" t="shared" si="1" ref="C17:C24">"BÉLYEGZŐPÁRNA"</f>
        <v>BÉLYEGZŐPÁRNA</v>
      </c>
      <c r="D17" s="99" t="str">
        <f>"COLOP BP. 4912"</f>
        <v>COLOP BP. 4912</v>
      </c>
      <c r="E17" s="5"/>
      <c r="F17" s="5"/>
      <c r="G17" s="5"/>
      <c r="H17" s="28"/>
      <c r="I17" s="5"/>
      <c r="J17" s="5"/>
      <c r="K17" s="5"/>
      <c r="L17" s="5"/>
      <c r="M17" s="5"/>
      <c r="N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3"/>
      <c r="AE17" s="5"/>
      <c r="AF17" s="5"/>
      <c r="AG17" s="5"/>
      <c r="AH17" s="5"/>
      <c r="AI17" s="5"/>
      <c r="AJ17" s="5"/>
      <c r="AK17" s="5"/>
      <c r="AL17" s="5"/>
      <c r="AM17" s="5"/>
      <c r="AN17" s="28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33">
        <f t="shared" si="0"/>
        <v>0</v>
      </c>
      <c r="BN17" s="33"/>
      <c r="BO17" s="28"/>
      <c r="BP17" s="58"/>
    </row>
    <row r="18" spans="1:68" s="10" customFormat="1" ht="11.25" hidden="1">
      <c r="A18" s="25" t="str">
        <f>"08617"</f>
        <v>08617</v>
      </c>
      <c r="B18" s="58"/>
      <c r="C18" s="99" t="str">
        <f t="shared" si="1"/>
        <v>BÉLYEGZŐPÁRNA</v>
      </c>
      <c r="D18" s="99" t="str">
        <f>"COLOP BP. 4913"</f>
        <v>COLOP BP. 4913</v>
      </c>
      <c r="E18" s="5"/>
      <c r="F18" s="5"/>
      <c r="G18" s="5"/>
      <c r="H18" s="28"/>
      <c r="I18" s="5"/>
      <c r="J18" s="5"/>
      <c r="K18" s="5"/>
      <c r="L18" s="5"/>
      <c r="M18" s="5"/>
      <c r="N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3"/>
      <c r="AE18" s="5"/>
      <c r="AF18" s="5"/>
      <c r="AG18" s="5"/>
      <c r="AH18" s="5"/>
      <c r="AI18" s="5"/>
      <c r="AJ18" s="5"/>
      <c r="AK18" s="5"/>
      <c r="AL18" s="5"/>
      <c r="AM18" s="5"/>
      <c r="AN18" s="28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33">
        <f t="shared" si="0"/>
        <v>0</v>
      </c>
      <c r="BN18" s="33"/>
      <c r="BO18" s="28"/>
      <c r="BP18" s="58"/>
    </row>
    <row r="19" spans="1:68" s="10" customFormat="1" ht="11.25" hidden="1">
      <c r="A19" s="25" t="str">
        <f>"10905"</f>
        <v>10905</v>
      </c>
      <c r="B19" s="58"/>
      <c r="C19" s="99" t="str">
        <f t="shared" si="1"/>
        <v>BÉLYEGZŐPÁRNA</v>
      </c>
      <c r="D19" s="99" t="str">
        <f>"COLOP E 10"</f>
        <v>COLOP E 10</v>
      </c>
      <c r="E19" s="5"/>
      <c r="F19" s="5"/>
      <c r="G19" s="5"/>
      <c r="H19" s="28"/>
      <c r="I19" s="5"/>
      <c r="J19" s="5"/>
      <c r="K19" s="5"/>
      <c r="L19" s="5"/>
      <c r="M19" s="5"/>
      <c r="N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3"/>
      <c r="AE19" s="5"/>
      <c r="AF19" s="5"/>
      <c r="AG19" s="5"/>
      <c r="AH19" s="5"/>
      <c r="AI19" s="5"/>
      <c r="AJ19" s="5"/>
      <c r="AK19" s="5"/>
      <c r="AL19" s="5"/>
      <c r="AM19" s="5"/>
      <c r="AN19" s="28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33">
        <f t="shared" si="0"/>
        <v>0</v>
      </c>
      <c r="BN19" s="33"/>
      <c r="BO19" s="28"/>
      <c r="BP19" s="58"/>
    </row>
    <row r="20" spans="1:68" s="10" customFormat="1" ht="11.25" hidden="1">
      <c r="A20" s="25" t="str">
        <f>"10906"</f>
        <v>10906</v>
      </c>
      <c r="B20" s="58"/>
      <c r="C20" s="99" t="str">
        <f t="shared" si="1"/>
        <v>BÉLYEGZŐPÁRNA</v>
      </c>
      <c r="D20" s="99" t="str">
        <f>"COLOP E 30"</f>
        <v>COLOP E 30</v>
      </c>
      <c r="E20" s="5"/>
      <c r="F20" s="5"/>
      <c r="G20" s="5"/>
      <c r="H20" s="28"/>
      <c r="I20" s="5"/>
      <c r="J20" s="5"/>
      <c r="K20" s="5"/>
      <c r="L20" s="5"/>
      <c r="M20" s="5"/>
      <c r="N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3"/>
      <c r="AE20" s="5"/>
      <c r="AF20" s="5"/>
      <c r="AG20" s="5"/>
      <c r="AH20" s="5"/>
      <c r="AI20" s="5"/>
      <c r="AJ20" s="5"/>
      <c r="AK20" s="5"/>
      <c r="AL20" s="5"/>
      <c r="AM20" s="5"/>
      <c r="AN20" s="28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33">
        <f t="shared" si="0"/>
        <v>0</v>
      </c>
      <c r="BN20" s="33"/>
      <c r="BO20" s="28"/>
      <c r="BP20" s="58"/>
    </row>
    <row r="21" spans="1:68" s="10" customFormat="1" ht="11.25" hidden="1">
      <c r="A21" s="25" t="str">
        <f>"08573"</f>
        <v>08573</v>
      </c>
      <c r="B21" s="58"/>
      <c r="C21" s="99" t="str">
        <f t="shared" si="1"/>
        <v>BÉLYEGZŐPÁRNA</v>
      </c>
      <c r="D21" s="99" t="str">
        <f>"COLOP E 40"</f>
        <v>COLOP E 40</v>
      </c>
      <c r="E21" s="5"/>
      <c r="F21" s="5"/>
      <c r="G21" s="5"/>
      <c r="H21" s="28"/>
      <c r="I21" s="5"/>
      <c r="J21" s="5"/>
      <c r="K21" s="5"/>
      <c r="L21" s="5"/>
      <c r="M21" s="5"/>
      <c r="N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3"/>
      <c r="AE21" s="5"/>
      <c r="AF21" s="5"/>
      <c r="AG21" s="5"/>
      <c r="AH21" s="5"/>
      <c r="AI21" s="5"/>
      <c r="AJ21" s="5"/>
      <c r="AK21" s="5"/>
      <c r="AL21" s="5"/>
      <c r="AM21" s="5"/>
      <c r="AN21" s="28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33">
        <f t="shared" si="0"/>
        <v>0</v>
      </c>
      <c r="BN21" s="33"/>
      <c r="BO21" s="28"/>
      <c r="BP21" s="58"/>
    </row>
    <row r="22" spans="1:68" s="10" customFormat="1" ht="11.25" hidden="1">
      <c r="A22" s="25" t="str">
        <f>"12655"</f>
        <v>12655</v>
      </c>
      <c r="B22" s="58"/>
      <c r="C22" s="99" t="str">
        <f t="shared" si="1"/>
        <v>BÉLYEGZŐPÁRNA</v>
      </c>
      <c r="D22" s="99" t="str">
        <f>"KORES"</f>
        <v>KORES</v>
      </c>
      <c r="E22" s="5"/>
      <c r="F22" s="5"/>
      <c r="G22" s="5"/>
      <c r="H22" s="28"/>
      <c r="I22" s="5"/>
      <c r="J22" s="5"/>
      <c r="K22" s="5"/>
      <c r="L22" s="5"/>
      <c r="M22" s="5"/>
      <c r="N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3"/>
      <c r="AE22" s="5"/>
      <c r="AF22" s="5"/>
      <c r="AG22" s="5"/>
      <c r="AH22" s="5"/>
      <c r="AI22" s="5"/>
      <c r="AJ22" s="5"/>
      <c r="AK22" s="5"/>
      <c r="AL22" s="5"/>
      <c r="AM22" s="5"/>
      <c r="AN22" s="28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33">
        <f t="shared" si="0"/>
        <v>0</v>
      </c>
      <c r="BN22" s="33"/>
      <c r="BO22" s="28"/>
      <c r="BP22" s="58"/>
    </row>
    <row r="23" spans="1:68" s="10" customFormat="1" ht="11.25" hidden="1">
      <c r="A23" s="25" t="str">
        <f>"13304"</f>
        <v>13304</v>
      </c>
      <c r="B23" s="58"/>
      <c r="C23" s="99" t="str">
        <f t="shared" si="1"/>
        <v>BÉLYEGZŐPÁRNA</v>
      </c>
      <c r="D23" s="99" t="str">
        <f>"LACO"</f>
        <v>LACO</v>
      </c>
      <c r="E23" s="5"/>
      <c r="F23" s="5"/>
      <c r="G23" s="5"/>
      <c r="H23" s="28"/>
      <c r="I23" s="5"/>
      <c r="J23" s="5"/>
      <c r="K23" s="5"/>
      <c r="L23" s="5"/>
      <c r="M23" s="5"/>
      <c r="N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3"/>
      <c r="AE23" s="5"/>
      <c r="AF23" s="5"/>
      <c r="AG23" s="5"/>
      <c r="AH23" s="5"/>
      <c r="AI23" s="5"/>
      <c r="AJ23" s="5"/>
      <c r="AK23" s="5"/>
      <c r="AL23" s="5"/>
      <c r="AM23" s="5"/>
      <c r="AN23" s="28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33">
        <f t="shared" si="0"/>
        <v>0</v>
      </c>
      <c r="BN23" s="33"/>
      <c r="BO23" s="28"/>
      <c r="BP23" s="58"/>
    </row>
    <row r="24" spans="1:68" s="10" customFormat="1" ht="11.25" hidden="1">
      <c r="A24" s="25" t="str">
        <f>"12490"</f>
        <v>12490</v>
      </c>
      <c r="B24" s="58"/>
      <c r="C24" s="99" t="str">
        <f t="shared" si="1"/>
        <v>BÉLYEGZŐPÁRNA</v>
      </c>
      <c r="D24" s="99" t="str">
        <f>"TRODAT 4912"</f>
        <v>TRODAT 4912</v>
      </c>
      <c r="E24" s="5"/>
      <c r="F24" s="5"/>
      <c r="G24" s="5"/>
      <c r="H24" s="28"/>
      <c r="I24" s="5"/>
      <c r="J24" s="5"/>
      <c r="K24" s="5"/>
      <c r="L24" s="5"/>
      <c r="M24" s="5"/>
      <c r="N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3"/>
      <c r="AE24" s="5"/>
      <c r="AF24" s="5"/>
      <c r="AG24" s="5"/>
      <c r="AH24" s="5"/>
      <c r="AI24" s="5"/>
      <c r="AJ24" s="5"/>
      <c r="AK24" s="5"/>
      <c r="AL24" s="5"/>
      <c r="AM24" s="5"/>
      <c r="AN24" s="28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33">
        <f t="shared" si="0"/>
        <v>0</v>
      </c>
      <c r="BN24" s="33"/>
      <c r="BO24" s="28"/>
      <c r="BP24" s="58"/>
    </row>
    <row r="25" spans="1:69" s="10" customFormat="1" ht="11.25">
      <c r="A25" s="25" t="str">
        <f>"10175"</f>
        <v>10175</v>
      </c>
      <c r="B25" s="58" t="s">
        <v>243</v>
      </c>
      <c r="C25" s="99" t="str">
        <f>"ÁRAZÓSZALAG"</f>
        <v>ÁRAZÓSZALAG</v>
      </c>
      <c r="D25" s="99"/>
      <c r="E25" s="5"/>
      <c r="F25" s="5"/>
      <c r="G25" s="5">
        <v>3</v>
      </c>
      <c r="H25" s="28"/>
      <c r="I25" s="5"/>
      <c r="J25" s="5">
        <v>12</v>
      </c>
      <c r="K25" s="5"/>
      <c r="L25" s="5"/>
      <c r="M25" s="5"/>
      <c r="N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3"/>
      <c r="AE25" s="5"/>
      <c r="AF25" s="5"/>
      <c r="AG25" s="5"/>
      <c r="AH25" s="5"/>
      <c r="AI25" s="5"/>
      <c r="AJ25" s="5"/>
      <c r="AK25" s="5"/>
      <c r="AL25" s="5"/>
      <c r="AM25" s="5"/>
      <c r="AN25" s="28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33">
        <f t="shared" si="0"/>
        <v>15</v>
      </c>
      <c r="BN25" s="28" t="s">
        <v>48</v>
      </c>
      <c r="BO25" s="28"/>
      <c r="BP25" s="58"/>
      <c r="BQ25" s="9"/>
    </row>
    <row r="26" spans="1:68" s="9" customFormat="1" ht="11.25">
      <c r="A26" s="27">
        <v>12451</v>
      </c>
      <c r="B26" s="55" t="s">
        <v>244</v>
      </c>
      <c r="C26" s="100" t="s">
        <v>195</v>
      </c>
      <c r="D26" s="100"/>
      <c r="E26" s="6"/>
      <c r="F26" s="6"/>
      <c r="G26" s="6"/>
      <c r="I26" s="6"/>
      <c r="J26" s="6">
        <v>2</v>
      </c>
      <c r="K26" s="6"/>
      <c r="L26" s="6"/>
      <c r="M26" s="6"/>
      <c r="N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4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>
        <v>10</v>
      </c>
      <c r="AT26" s="6"/>
      <c r="AU26" s="6"/>
      <c r="AV26" s="6">
        <v>5</v>
      </c>
      <c r="AW26" s="6"/>
      <c r="AX26" s="6"/>
      <c r="AY26" s="6"/>
      <c r="AZ26" s="6"/>
      <c r="BA26" s="6"/>
      <c r="BB26" s="6"/>
      <c r="BC26" s="6"/>
      <c r="BD26" s="6">
        <v>2</v>
      </c>
      <c r="BE26" s="6"/>
      <c r="BF26" s="6">
        <v>2</v>
      </c>
      <c r="BG26" s="6"/>
      <c r="BH26" s="6"/>
      <c r="BI26" s="6"/>
      <c r="BJ26" s="6"/>
      <c r="BK26" s="6"/>
      <c r="BL26" s="6"/>
      <c r="BM26" s="33">
        <f t="shared" si="0"/>
        <v>21</v>
      </c>
      <c r="BN26" s="33" t="s">
        <v>163</v>
      </c>
      <c r="BO26" s="33"/>
      <c r="BP26" s="55"/>
    </row>
    <row r="27" spans="1:68" s="10" customFormat="1" ht="11.25">
      <c r="A27" s="25" t="str">
        <f>"07650"</f>
        <v>07650</v>
      </c>
      <c r="B27" s="58" t="s">
        <v>245</v>
      </c>
      <c r="C27" s="99" t="str">
        <f>"BÉLYEGZŐPÁRNA FESTÉK"</f>
        <v>BÉLYEGZŐPÁRNA FESTÉK</v>
      </c>
      <c r="D27" s="99" t="s">
        <v>21</v>
      </c>
      <c r="E27" s="5"/>
      <c r="F27" s="5">
        <v>2</v>
      </c>
      <c r="G27" s="5"/>
      <c r="H27" s="28"/>
      <c r="I27" s="5"/>
      <c r="J27" s="5">
        <v>1</v>
      </c>
      <c r="K27" s="5">
        <v>1</v>
      </c>
      <c r="L27" s="5">
        <v>1</v>
      </c>
      <c r="M27" s="5"/>
      <c r="N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3"/>
      <c r="AE27" s="5"/>
      <c r="AF27" s="5"/>
      <c r="AG27" s="5"/>
      <c r="AH27" s="5"/>
      <c r="AI27" s="5"/>
      <c r="AJ27" s="5"/>
      <c r="AK27" s="5"/>
      <c r="AL27" s="5"/>
      <c r="AM27" s="5"/>
      <c r="AN27" s="28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33">
        <f t="shared" si="0"/>
        <v>5</v>
      </c>
      <c r="BN27" s="33" t="s">
        <v>38</v>
      </c>
      <c r="BO27" s="28"/>
      <c r="BP27" s="58"/>
    </row>
    <row r="28" spans="1:68" s="9" customFormat="1" ht="22.5" hidden="1">
      <c r="A28" s="25" t="str">
        <f aca="true" t="shared" si="2" ref="A28:A36">"07532"</f>
        <v>07532</v>
      </c>
      <c r="B28" s="58"/>
      <c r="C28" s="99" t="str">
        <f>"BORÍTÉK (PATENTOS) PVC HETZEL"</f>
        <v>BORÍTÉK (PATENTOS) PVC HETZEL</v>
      </c>
      <c r="D28" s="99" t="str">
        <f>"A/4"</f>
        <v>A/4</v>
      </c>
      <c r="E28" s="6"/>
      <c r="F28" s="6"/>
      <c r="G28" s="6"/>
      <c r="H28" s="28"/>
      <c r="I28" s="6"/>
      <c r="J28" s="6"/>
      <c r="K28" s="6"/>
      <c r="L28" s="6"/>
      <c r="M28" s="6"/>
      <c r="N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4"/>
      <c r="AE28" s="6"/>
      <c r="AF28" s="6"/>
      <c r="AG28" s="6"/>
      <c r="AH28" s="6"/>
      <c r="AI28" s="6"/>
      <c r="AJ28" s="6"/>
      <c r="AK28" s="6"/>
      <c r="AL28" s="6"/>
      <c r="AM28" s="6"/>
      <c r="AN28" s="28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33">
        <f t="shared" si="0"/>
        <v>0</v>
      </c>
      <c r="BN28" s="33"/>
      <c r="BO28" s="33"/>
      <c r="BP28" s="55"/>
    </row>
    <row r="29" spans="1:68" s="9" customFormat="1" ht="22.5" hidden="1">
      <c r="A29" s="25" t="str">
        <f t="shared" si="2"/>
        <v>07532</v>
      </c>
      <c r="B29" s="58"/>
      <c r="C29" s="99" t="str">
        <f>"BORÍTÉK (PATENTOS) PVC HETZEL"</f>
        <v>BORÍTÉK (PATENTOS) PVC HETZEL</v>
      </c>
      <c r="D29" s="99" t="str">
        <f>"A/5"</f>
        <v>A/5</v>
      </c>
      <c r="E29" s="6"/>
      <c r="F29" s="6"/>
      <c r="G29" s="6"/>
      <c r="H29" s="28"/>
      <c r="I29" s="6"/>
      <c r="J29" s="6"/>
      <c r="K29" s="6"/>
      <c r="L29" s="6"/>
      <c r="M29" s="6"/>
      <c r="N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4"/>
      <c r="AE29" s="6"/>
      <c r="AF29" s="6"/>
      <c r="AG29" s="6"/>
      <c r="AH29" s="6"/>
      <c r="AI29" s="6"/>
      <c r="AJ29" s="6"/>
      <c r="AK29" s="6"/>
      <c r="AL29" s="6"/>
      <c r="AM29" s="6"/>
      <c r="AN29" s="28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33">
        <f t="shared" si="0"/>
        <v>0</v>
      </c>
      <c r="BN29" s="33"/>
      <c r="BO29" s="33"/>
      <c r="BP29" s="55"/>
    </row>
    <row r="30" spans="1:68" s="9" customFormat="1" ht="11.25" hidden="1">
      <c r="A30" s="25" t="str">
        <f t="shared" si="2"/>
        <v>07532</v>
      </c>
      <c r="B30" s="58"/>
      <c r="C30" s="99" t="str">
        <f>"BORÍTÉK LÉGPÁRNÁS"</f>
        <v>BORÍTÉK LÉGPÁRNÁS</v>
      </c>
      <c r="D30" s="99"/>
      <c r="E30" s="6"/>
      <c r="F30" s="6"/>
      <c r="G30" s="6"/>
      <c r="H30" s="28"/>
      <c r="I30" s="6"/>
      <c r="J30" s="6"/>
      <c r="K30" s="6"/>
      <c r="L30" s="6"/>
      <c r="M30" s="6"/>
      <c r="N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4"/>
      <c r="AE30" s="6"/>
      <c r="AF30" s="6"/>
      <c r="AG30" s="6"/>
      <c r="AH30" s="6"/>
      <c r="AI30" s="6"/>
      <c r="AJ30" s="6"/>
      <c r="AK30" s="6"/>
      <c r="AL30" s="6"/>
      <c r="AM30" s="6"/>
      <c r="AN30" s="28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33">
        <f t="shared" si="0"/>
        <v>0</v>
      </c>
      <c r="BN30" s="33"/>
      <c r="BO30" s="33"/>
      <c r="BP30" s="55"/>
    </row>
    <row r="31" spans="1:68" s="9" customFormat="1" ht="11.25" hidden="1">
      <c r="A31" s="25" t="str">
        <f t="shared" si="2"/>
        <v>07532</v>
      </c>
      <c r="B31" s="58"/>
      <c r="C31" s="99" t="str">
        <f>"CD LEMEZ"</f>
        <v>CD LEMEZ</v>
      </c>
      <c r="D31" s="99" t="str">
        <f>"RW"</f>
        <v>RW</v>
      </c>
      <c r="E31" s="6"/>
      <c r="F31" s="6"/>
      <c r="G31" s="6"/>
      <c r="H31" s="28"/>
      <c r="I31" s="6"/>
      <c r="J31" s="6"/>
      <c r="K31" s="6"/>
      <c r="L31" s="6"/>
      <c r="M31" s="6"/>
      <c r="N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4"/>
      <c r="AE31" s="6"/>
      <c r="AF31" s="6"/>
      <c r="AG31" s="6"/>
      <c r="AH31" s="6"/>
      <c r="AI31" s="6"/>
      <c r="AJ31" s="6"/>
      <c r="AK31" s="6"/>
      <c r="AL31" s="6"/>
      <c r="AM31" s="6"/>
      <c r="AN31" s="28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33">
        <f t="shared" si="0"/>
        <v>0</v>
      </c>
      <c r="BN31" s="33"/>
      <c r="BO31" s="33"/>
      <c r="BP31" s="55"/>
    </row>
    <row r="32" spans="1:68" s="9" customFormat="1" ht="11.25" hidden="1">
      <c r="A32" s="25" t="str">
        <f t="shared" si="2"/>
        <v>07532</v>
      </c>
      <c r="B32" s="58"/>
      <c r="C32" s="99" t="str">
        <f>"CD PAPÍRTOK"</f>
        <v>CD PAPÍRTOK</v>
      </c>
      <c r="D32" s="99"/>
      <c r="E32" s="6"/>
      <c r="F32" s="6"/>
      <c r="G32" s="6"/>
      <c r="H32" s="28"/>
      <c r="I32" s="6"/>
      <c r="J32" s="6"/>
      <c r="K32" s="6"/>
      <c r="L32" s="6"/>
      <c r="M32" s="6"/>
      <c r="N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4"/>
      <c r="AE32" s="6"/>
      <c r="AF32" s="6"/>
      <c r="AG32" s="6"/>
      <c r="AH32" s="6"/>
      <c r="AI32" s="6"/>
      <c r="AJ32" s="6"/>
      <c r="AK32" s="6"/>
      <c r="AL32" s="6"/>
      <c r="AM32" s="6"/>
      <c r="AN32" s="28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33">
        <f t="shared" si="0"/>
        <v>0</v>
      </c>
      <c r="BN32" s="33"/>
      <c r="BO32" s="33"/>
      <c r="BP32" s="55"/>
    </row>
    <row r="33" spans="1:68" s="9" customFormat="1" ht="11.25" hidden="1">
      <c r="A33" s="25" t="str">
        <f t="shared" si="2"/>
        <v>07532</v>
      </c>
      <c r="B33" s="58"/>
      <c r="C33" s="99" t="str">
        <f>"CD TARTÓ (CIPZÁRAS)"</f>
        <v>CD TARTÓ (CIPZÁRAS)</v>
      </c>
      <c r="D33" s="99"/>
      <c r="E33" s="6"/>
      <c r="F33" s="6"/>
      <c r="G33" s="6"/>
      <c r="H33" s="28"/>
      <c r="I33" s="6"/>
      <c r="J33" s="6"/>
      <c r="K33" s="6"/>
      <c r="L33" s="6"/>
      <c r="M33" s="6"/>
      <c r="N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4"/>
      <c r="AE33" s="6"/>
      <c r="AF33" s="6"/>
      <c r="AG33" s="6"/>
      <c r="AH33" s="6"/>
      <c r="AI33" s="6"/>
      <c r="AJ33" s="6"/>
      <c r="AK33" s="6"/>
      <c r="AL33" s="6"/>
      <c r="AM33" s="6"/>
      <c r="AN33" s="28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33">
        <f t="shared" si="0"/>
        <v>0</v>
      </c>
      <c r="BN33" s="33"/>
      <c r="BO33" s="33"/>
      <c r="BP33" s="55"/>
    </row>
    <row r="34" spans="1:68" s="9" customFormat="1" ht="11.25" hidden="1">
      <c r="A34" s="25" t="str">
        <f t="shared" si="2"/>
        <v>07532</v>
      </c>
      <c r="B34" s="58"/>
      <c r="C34" s="99" t="str">
        <f>"CD TARTÓ (FÁBÓL)"</f>
        <v>CD TARTÓ (FÁBÓL)</v>
      </c>
      <c r="D34" s="99"/>
      <c r="E34" s="6"/>
      <c r="F34" s="6"/>
      <c r="G34" s="6"/>
      <c r="H34" s="28"/>
      <c r="I34" s="6"/>
      <c r="J34" s="6"/>
      <c r="K34" s="6"/>
      <c r="L34" s="6"/>
      <c r="M34" s="6"/>
      <c r="N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4"/>
      <c r="AE34" s="6"/>
      <c r="AF34" s="6"/>
      <c r="AG34" s="6"/>
      <c r="AH34" s="6"/>
      <c r="AI34" s="6"/>
      <c r="AJ34" s="6"/>
      <c r="AK34" s="6"/>
      <c r="AL34" s="6"/>
      <c r="AM34" s="6"/>
      <c r="AN34" s="28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33">
        <f t="shared" si="0"/>
        <v>0</v>
      </c>
      <c r="BN34" s="33"/>
      <c r="BO34" s="33"/>
      <c r="BP34" s="55"/>
    </row>
    <row r="35" spans="1:68" s="9" customFormat="1" ht="11.25" hidden="1">
      <c r="A35" s="25" t="str">
        <f t="shared" si="2"/>
        <v>07532</v>
      </c>
      <c r="B35" s="58"/>
      <c r="C35" s="99" t="s">
        <v>26</v>
      </c>
      <c r="D35" s="99"/>
      <c r="E35" s="6"/>
      <c r="F35" s="6"/>
      <c r="G35" s="6"/>
      <c r="H35" s="28"/>
      <c r="I35" s="6"/>
      <c r="J35" s="6"/>
      <c r="K35" s="6"/>
      <c r="L35" s="6"/>
      <c r="M35" s="6"/>
      <c r="N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4"/>
      <c r="AE35" s="6"/>
      <c r="AF35" s="6"/>
      <c r="AG35" s="6"/>
      <c r="AH35" s="6"/>
      <c r="AI35" s="6"/>
      <c r="AJ35" s="6"/>
      <c r="AK35" s="6"/>
      <c r="AL35" s="6"/>
      <c r="AM35" s="6"/>
      <c r="AN35" s="28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33">
        <f t="shared" si="0"/>
        <v>0</v>
      </c>
      <c r="BN35" s="33"/>
      <c r="BO35" s="33"/>
      <c r="BP35" s="55"/>
    </row>
    <row r="36" spans="1:69" s="9" customFormat="1" ht="11.25" hidden="1">
      <c r="A36" s="25" t="str">
        <f t="shared" si="2"/>
        <v>07532</v>
      </c>
      <c r="B36" s="58"/>
      <c r="C36" s="99" t="s">
        <v>23</v>
      </c>
      <c r="D36" s="99" t="s">
        <v>24</v>
      </c>
      <c r="E36" s="6"/>
      <c r="F36" s="6"/>
      <c r="G36" s="6"/>
      <c r="H36" s="28"/>
      <c r="I36" s="6"/>
      <c r="J36" s="6"/>
      <c r="K36" s="6"/>
      <c r="L36" s="6"/>
      <c r="M36" s="6"/>
      <c r="N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4"/>
      <c r="AE36" s="6"/>
      <c r="AF36" s="6"/>
      <c r="AG36" s="6"/>
      <c r="AH36" s="6"/>
      <c r="AI36" s="6"/>
      <c r="AJ36" s="6"/>
      <c r="AK36" s="6"/>
      <c r="AL36" s="6"/>
      <c r="AM36" s="6"/>
      <c r="AN36" s="28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33">
        <f t="shared" si="0"/>
        <v>0</v>
      </c>
      <c r="BN36" s="33"/>
      <c r="BO36" s="33"/>
      <c r="BP36" s="55"/>
      <c r="BQ36" s="10"/>
    </row>
    <row r="37" spans="1:68" s="10" customFormat="1" ht="11.25" hidden="1">
      <c r="A37" s="25" t="str">
        <f>"07696"</f>
        <v>07696</v>
      </c>
      <c r="B37" s="58"/>
      <c r="C37" s="99" t="str">
        <f>"CERUZA (ROTRING) PIXIRON"</f>
        <v>CERUZA (ROTRING) PIXIRON</v>
      </c>
      <c r="D37" s="99" t="str">
        <f>"0.5 MM"</f>
        <v>0.5 MM</v>
      </c>
      <c r="E37" s="5"/>
      <c r="F37" s="5"/>
      <c r="G37" s="5"/>
      <c r="H37" s="28"/>
      <c r="I37" s="5"/>
      <c r="J37" s="5"/>
      <c r="K37" s="5"/>
      <c r="L37" s="5"/>
      <c r="M37" s="5"/>
      <c r="N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3"/>
      <c r="AE37" s="5"/>
      <c r="AF37" s="5"/>
      <c r="AG37" s="5"/>
      <c r="AH37" s="5"/>
      <c r="AI37" s="5"/>
      <c r="AJ37" s="5"/>
      <c r="AK37" s="5"/>
      <c r="AL37" s="5"/>
      <c r="AM37" s="5"/>
      <c r="AN37" s="28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33">
        <f t="shared" si="0"/>
        <v>0</v>
      </c>
      <c r="BN37" s="33" t="s">
        <v>38</v>
      </c>
      <c r="BO37" s="28"/>
      <c r="BP37" s="58"/>
    </row>
    <row r="38" spans="1:68" s="10" customFormat="1" ht="11.25" hidden="1">
      <c r="A38" s="25" t="str">
        <f>"08562"</f>
        <v>08562</v>
      </c>
      <c r="B38" s="58"/>
      <c r="C38" s="99" t="str">
        <f>"CERUZA (ROTRING) PIXIRON"</f>
        <v>CERUZA (ROTRING) PIXIRON</v>
      </c>
      <c r="D38" s="99" t="str">
        <f>"0.7 MM"</f>
        <v>0.7 MM</v>
      </c>
      <c r="E38" s="5"/>
      <c r="F38" s="5"/>
      <c r="G38" s="5"/>
      <c r="H38" s="28"/>
      <c r="I38" s="5"/>
      <c r="J38" s="5"/>
      <c r="K38" s="5"/>
      <c r="L38" s="5"/>
      <c r="M38" s="5"/>
      <c r="N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3"/>
      <c r="AE38" s="5"/>
      <c r="AF38" s="5"/>
      <c r="AG38" s="5"/>
      <c r="AH38" s="5"/>
      <c r="AI38" s="5"/>
      <c r="AJ38" s="5"/>
      <c r="AK38" s="5"/>
      <c r="AL38" s="5"/>
      <c r="AM38" s="5"/>
      <c r="AN38" s="28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33">
        <f t="shared" si="0"/>
        <v>0</v>
      </c>
      <c r="BN38" s="33" t="s">
        <v>38</v>
      </c>
      <c r="BO38" s="28"/>
      <c r="BP38" s="58"/>
    </row>
    <row r="39" spans="1:68" s="9" customFormat="1" ht="11.25">
      <c r="A39" s="25" t="str">
        <f>"13874"</f>
        <v>13874</v>
      </c>
      <c r="B39" s="58" t="s">
        <v>246</v>
      </c>
      <c r="C39" s="99" t="str">
        <f>"BINDER CSIPESZ (CLIPS)"</f>
        <v>BINDER CSIPESZ (CLIPS)</v>
      </c>
      <c r="D39" s="99" t="s">
        <v>141</v>
      </c>
      <c r="E39" s="6">
        <v>1</v>
      </c>
      <c r="F39" s="6"/>
      <c r="G39" s="6"/>
      <c r="H39" s="28"/>
      <c r="I39" s="6"/>
      <c r="J39" s="6"/>
      <c r="K39" s="6"/>
      <c r="L39" s="6"/>
      <c r="M39" s="6"/>
      <c r="N39" s="6"/>
      <c r="P39" s="6"/>
      <c r="Q39" s="6"/>
      <c r="R39" s="6">
        <v>1</v>
      </c>
      <c r="S39" s="6"/>
      <c r="T39" s="6"/>
      <c r="U39" s="6"/>
      <c r="V39" s="6"/>
      <c r="W39" s="6"/>
      <c r="X39" s="6"/>
      <c r="Y39" s="6"/>
      <c r="Z39" s="6"/>
      <c r="AA39" s="6"/>
      <c r="AB39" s="6">
        <v>1</v>
      </c>
      <c r="AC39" s="6"/>
      <c r="AD39" s="14"/>
      <c r="AE39" s="6"/>
      <c r="AF39" s="6"/>
      <c r="AG39" s="6"/>
      <c r="AH39" s="6"/>
      <c r="AI39" s="6"/>
      <c r="AJ39" s="6"/>
      <c r="AK39" s="6"/>
      <c r="AL39" s="6"/>
      <c r="AM39" s="6"/>
      <c r="AN39" s="28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33">
        <f t="shared" si="0"/>
        <v>3</v>
      </c>
      <c r="BN39" s="33" t="s">
        <v>45</v>
      </c>
      <c r="BO39" s="33"/>
      <c r="BP39" s="55"/>
    </row>
    <row r="40" spans="1:68" s="9" customFormat="1" ht="11.25">
      <c r="A40" s="25" t="str">
        <f>"07587"</f>
        <v>07587</v>
      </c>
      <c r="B40" s="58" t="s">
        <v>247</v>
      </c>
      <c r="C40" s="99" t="str">
        <f>"BINDER CSIPESZ (CLIPS)"</f>
        <v>BINDER CSIPESZ (CLIPS)</v>
      </c>
      <c r="D40" s="99" t="s">
        <v>140</v>
      </c>
      <c r="E40" s="6">
        <v>1</v>
      </c>
      <c r="F40" s="6"/>
      <c r="G40" s="6"/>
      <c r="H40" s="28"/>
      <c r="I40" s="6"/>
      <c r="J40" s="6">
        <v>1</v>
      </c>
      <c r="K40" s="6"/>
      <c r="L40" s="6"/>
      <c r="M40" s="6"/>
      <c r="N40" s="6"/>
      <c r="P40" s="6"/>
      <c r="Q40" s="6"/>
      <c r="R40" s="6">
        <v>1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4"/>
      <c r="AE40" s="6"/>
      <c r="AF40" s="6"/>
      <c r="AG40" s="6"/>
      <c r="AH40" s="6"/>
      <c r="AI40" s="6"/>
      <c r="AJ40" s="6"/>
      <c r="AK40" s="6"/>
      <c r="AL40" s="6"/>
      <c r="AM40" s="6"/>
      <c r="AN40" s="28"/>
      <c r="AO40" s="6"/>
      <c r="AP40" s="6"/>
      <c r="AQ40" s="6"/>
      <c r="AR40" s="6"/>
      <c r="AS40" s="6">
        <v>1</v>
      </c>
      <c r="AT40" s="6"/>
      <c r="AU40" s="6"/>
      <c r="AV40" s="6"/>
      <c r="AW40" s="6">
        <v>1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33">
        <f t="shared" si="0"/>
        <v>5</v>
      </c>
      <c r="BN40" s="33" t="s">
        <v>45</v>
      </c>
      <c r="BO40" s="33"/>
      <c r="BP40" s="55"/>
    </row>
    <row r="41" spans="1:68" s="9" customFormat="1" ht="11.25">
      <c r="A41" s="25" t="str">
        <f>"08574"</f>
        <v>08574</v>
      </c>
      <c r="B41" s="58" t="s">
        <v>248</v>
      </c>
      <c r="C41" s="99" t="str">
        <f>"BINDER CSIPESZ (CLIPS)"</f>
        <v>BINDER CSIPESZ (CLIPS)</v>
      </c>
      <c r="D41" s="99" t="s">
        <v>139</v>
      </c>
      <c r="E41" s="6">
        <v>1</v>
      </c>
      <c r="F41" s="6"/>
      <c r="G41" s="6"/>
      <c r="H41" s="28"/>
      <c r="I41" s="6"/>
      <c r="J41" s="6">
        <v>1</v>
      </c>
      <c r="K41" s="6"/>
      <c r="L41" s="6"/>
      <c r="M41" s="6"/>
      <c r="N41" s="6"/>
      <c r="P41" s="6"/>
      <c r="Q41" s="6"/>
      <c r="R41" s="6">
        <v>1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4"/>
      <c r="AE41" s="6"/>
      <c r="AF41" s="6"/>
      <c r="AG41" s="6"/>
      <c r="AH41" s="6"/>
      <c r="AI41" s="6"/>
      <c r="AJ41" s="6"/>
      <c r="AK41" s="6"/>
      <c r="AL41" s="6"/>
      <c r="AM41" s="6"/>
      <c r="AN41" s="28"/>
      <c r="AO41" s="6"/>
      <c r="AP41" s="6"/>
      <c r="AQ41" s="6"/>
      <c r="AR41" s="6"/>
      <c r="AS41" s="6">
        <v>1</v>
      </c>
      <c r="AT41" s="6"/>
      <c r="AU41" s="6"/>
      <c r="AV41" s="6"/>
      <c r="AW41" s="6"/>
      <c r="AX41" s="6"/>
      <c r="AY41" s="6"/>
      <c r="AZ41" s="6"/>
      <c r="BA41" s="6"/>
      <c r="BB41" s="6">
        <v>24</v>
      </c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33">
        <f t="shared" si="0"/>
        <v>28</v>
      </c>
      <c r="BN41" s="33" t="s">
        <v>45</v>
      </c>
      <c r="BO41" s="33"/>
      <c r="BP41" s="55"/>
    </row>
    <row r="42" spans="1:68" s="9" customFormat="1" ht="11.25">
      <c r="A42" s="25" t="str">
        <f>"07588"</f>
        <v>07588</v>
      </c>
      <c r="B42" s="58" t="s">
        <v>249</v>
      </c>
      <c r="C42" s="99" t="str">
        <f>"BINDER CSIPESZ (CLIPS)"</f>
        <v>BINDER CSIPESZ (CLIPS)</v>
      </c>
      <c r="D42" s="99" t="s">
        <v>164</v>
      </c>
      <c r="E42" s="6">
        <v>1</v>
      </c>
      <c r="F42" s="6"/>
      <c r="G42" s="6"/>
      <c r="H42" s="28"/>
      <c r="I42" s="6"/>
      <c r="J42" s="6"/>
      <c r="K42" s="6"/>
      <c r="L42" s="6"/>
      <c r="M42" s="6"/>
      <c r="N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4"/>
      <c r="AE42" s="6"/>
      <c r="AF42" s="6"/>
      <c r="AG42" s="6"/>
      <c r="AH42" s="6"/>
      <c r="AI42" s="6"/>
      <c r="AJ42" s="6"/>
      <c r="AK42" s="6"/>
      <c r="AL42" s="6"/>
      <c r="AM42" s="6"/>
      <c r="AN42" s="28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33">
        <f t="shared" si="0"/>
        <v>1</v>
      </c>
      <c r="BN42" s="33" t="s">
        <v>45</v>
      </c>
      <c r="BO42" s="33"/>
      <c r="BP42" s="55"/>
    </row>
    <row r="43" spans="1:68" s="10" customFormat="1" ht="11.25" hidden="1">
      <c r="A43" s="25" t="str">
        <f>"12444"</f>
        <v>12444</v>
      </c>
      <c r="B43" s="58"/>
      <c r="C43" s="99" t="s">
        <v>74</v>
      </c>
      <c r="D43" s="99"/>
      <c r="E43" s="5"/>
      <c r="F43" s="5"/>
      <c r="G43" s="5"/>
      <c r="H43" s="28"/>
      <c r="I43" s="5"/>
      <c r="J43" s="5"/>
      <c r="K43" s="5"/>
      <c r="L43" s="5"/>
      <c r="M43" s="5"/>
      <c r="N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13"/>
      <c r="AE43" s="5"/>
      <c r="AF43" s="5"/>
      <c r="AG43" s="5"/>
      <c r="AH43" s="5"/>
      <c r="AI43" s="5"/>
      <c r="AJ43" s="5"/>
      <c r="AK43" s="5"/>
      <c r="AL43" s="5"/>
      <c r="AM43" s="5"/>
      <c r="AN43" s="28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33">
        <f t="shared" si="0"/>
        <v>0</v>
      </c>
      <c r="BN43" s="28"/>
      <c r="BO43" s="28"/>
      <c r="BP43" s="58"/>
    </row>
    <row r="44" spans="1:68" s="10" customFormat="1" ht="11.25" hidden="1">
      <c r="A44" s="25" t="str">
        <f>"08561"</f>
        <v>08561</v>
      </c>
      <c r="B44" s="58"/>
      <c r="C44" s="99" t="s">
        <v>74</v>
      </c>
      <c r="D44" s="99" t="str">
        <f>"DELI 0620"</f>
        <v>DELI 0620</v>
      </c>
      <c r="E44" s="5"/>
      <c r="F44" s="5"/>
      <c r="G44" s="5"/>
      <c r="H44" s="28"/>
      <c r="I44" s="5"/>
      <c r="J44" s="5"/>
      <c r="K44" s="5"/>
      <c r="L44" s="5"/>
      <c r="M44" s="5"/>
      <c r="N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3"/>
      <c r="AE44" s="5"/>
      <c r="AF44" s="5"/>
      <c r="AG44" s="5"/>
      <c r="AH44" s="5"/>
      <c r="AI44" s="5"/>
      <c r="AJ44" s="5"/>
      <c r="AK44" s="5"/>
      <c r="AL44" s="5"/>
      <c r="AM44" s="5"/>
      <c r="AN44" s="28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33">
        <f t="shared" si="0"/>
        <v>0</v>
      </c>
      <c r="BN44" s="28"/>
      <c r="BO44" s="28"/>
      <c r="BP44" s="58"/>
    </row>
    <row r="45" spans="1:69" s="10" customFormat="1" ht="11.25" hidden="1">
      <c r="A45" s="25" t="str">
        <f>"14448"</f>
        <v>14448</v>
      </c>
      <c r="B45" s="58"/>
      <c r="C45" s="99" t="s">
        <v>74</v>
      </c>
      <c r="D45" s="99"/>
      <c r="E45" s="5"/>
      <c r="F45" s="5"/>
      <c r="G45" s="5"/>
      <c r="H45" s="28"/>
      <c r="I45" s="5"/>
      <c r="J45" s="5"/>
      <c r="K45" s="5"/>
      <c r="L45" s="5"/>
      <c r="M45" s="5"/>
      <c r="N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13"/>
      <c r="AE45" s="5"/>
      <c r="AF45" s="5"/>
      <c r="AG45" s="5"/>
      <c r="AH45" s="5"/>
      <c r="AI45" s="5"/>
      <c r="AJ45" s="5"/>
      <c r="AK45" s="5"/>
      <c r="AL45" s="5"/>
      <c r="AM45" s="5"/>
      <c r="AN45" s="28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33">
        <f t="shared" si="0"/>
        <v>0</v>
      </c>
      <c r="BN45" s="28"/>
      <c r="BO45" s="28"/>
      <c r="BP45" s="58"/>
      <c r="BQ45" s="9"/>
    </row>
    <row r="46" spans="1:68" s="9" customFormat="1" ht="11.25" hidden="1">
      <c r="A46" s="25" t="str">
        <f>"11012"</f>
        <v>11012</v>
      </c>
      <c r="B46" s="58"/>
      <c r="C46" s="99" t="s">
        <v>74</v>
      </c>
      <c r="D46" s="99" t="str">
        <f>"080X120 CM"</f>
        <v>080X120 CM</v>
      </c>
      <c r="E46" s="6"/>
      <c r="F46" s="6"/>
      <c r="G46" s="6"/>
      <c r="H46" s="28"/>
      <c r="I46" s="6"/>
      <c r="J46" s="6"/>
      <c r="K46" s="6"/>
      <c r="L46" s="6"/>
      <c r="M46" s="6"/>
      <c r="N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4"/>
      <c r="AE46" s="6"/>
      <c r="AF46" s="6"/>
      <c r="AG46" s="6"/>
      <c r="AH46" s="6"/>
      <c r="AI46" s="6"/>
      <c r="AJ46" s="6"/>
      <c r="AK46" s="6"/>
      <c r="AL46" s="6"/>
      <c r="AM46" s="6"/>
      <c r="AN46" s="28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33">
        <f t="shared" si="0"/>
        <v>0</v>
      </c>
      <c r="BN46" s="33"/>
      <c r="BO46" s="33"/>
      <c r="BP46" s="55"/>
    </row>
    <row r="47" spans="1:69" s="9" customFormat="1" ht="11.25" hidden="1">
      <c r="A47" s="25" t="str">
        <f>"13147"</f>
        <v>13147</v>
      </c>
      <c r="B47" s="58"/>
      <c r="C47" s="99" t="s">
        <v>74</v>
      </c>
      <c r="D47" s="99" t="str">
        <f>"5KG-OS"</f>
        <v>5KG-OS</v>
      </c>
      <c r="E47" s="6"/>
      <c r="F47" s="6"/>
      <c r="G47" s="6"/>
      <c r="H47" s="28"/>
      <c r="I47" s="6"/>
      <c r="J47" s="6"/>
      <c r="K47" s="6"/>
      <c r="L47" s="6"/>
      <c r="M47" s="6"/>
      <c r="N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4"/>
      <c r="AE47" s="6"/>
      <c r="AF47" s="6"/>
      <c r="AG47" s="6"/>
      <c r="AH47" s="6"/>
      <c r="AI47" s="6"/>
      <c r="AJ47" s="6"/>
      <c r="AK47" s="6"/>
      <c r="AL47" s="6"/>
      <c r="AM47" s="6"/>
      <c r="AN47" s="28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33">
        <f t="shared" si="0"/>
        <v>0</v>
      </c>
      <c r="BN47" s="33"/>
      <c r="BO47" s="33"/>
      <c r="BP47" s="55"/>
      <c r="BQ47" s="10"/>
    </row>
    <row r="48" spans="1:68" s="10" customFormat="1" ht="11.25" hidden="1">
      <c r="A48" s="25" t="str">
        <f>"07760"</f>
        <v>07760</v>
      </c>
      <c r="B48" s="58"/>
      <c r="C48" s="99" t="s">
        <v>74</v>
      </c>
      <c r="D48" s="99" t="str">
        <f>"A/1"</f>
        <v>A/1</v>
      </c>
      <c r="E48" s="5"/>
      <c r="F48" s="5"/>
      <c r="G48" s="5"/>
      <c r="H48" s="28"/>
      <c r="I48" s="5"/>
      <c r="J48" s="5"/>
      <c r="K48" s="5"/>
      <c r="L48" s="5"/>
      <c r="M48" s="5"/>
      <c r="N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13"/>
      <c r="AE48" s="5"/>
      <c r="AF48" s="5"/>
      <c r="AG48" s="5"/>
      <c r="AH48" s="5"/>
      <c r="AI48" s="5"/>
      <c r="AJ48" s="5"/>
      <c r="AK48" s="5"/>
      <c r="AL48" s="5"/>
      <c r="AM48" s="5"/>
      <c r="AN48" s="28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33">
        <f t="shared" si="0"/>
        <v>0</v>
      </c>
      <c r="BN48" s="28"/>
      <c r="BO48" s="28"/>
      <c r="BP48" s="58"/>
    </row>
    <row r="49" spans="1:69" s="10" customFormat="1" ht="11.25" hidden="1">
      <c r="A49" s="25" t="str">
        <f>"08399"</f>
        <v>08399</v>
      </c>
      <c r="B49" s="58"/>
      <c r="C49" s="99" t="s">
        <v>74</v>
      </c>
      <c r="D49" s="99"/>
      <c r="E49" s="5"/>
      <c r="F49" s="5"/>
      <c r="G49" s="5"/>
      <c r="H49" s="28"/>
      <c r="I49" s="5"/>
      <c r="J49" s="5"/>
      <c r="K49" s="5"/>
      <c r="L49" s="5"/>
      <c r="M49" s="5"/>
      <c r="N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13"/>
      <c r="AE49" s="5"/>
      <c r="AF49" s="5"/>
      <c r="AG49" s="5"/>
      <c r="AH49" s="5"/>
      <c r="AI49" s="5"/>
      <c r="AJ49" s="5"/>
      <c r="AK49" s="5"/>
      <c r="AL49" s="5"/>
      <c r="AM49" s="5"/>
      <c r="AN49" s="28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33">
        <f aca="true" t="shared" si="3" ref="BM49:BM101">SUM(E49:BL49)</f>
        <v>0</v>
      </c>
      <c r="BN49" s="28"/>
      <c r="BO49" s="28"/>
      <c r="BP49" s="58"/>
      <c r="BQ49" s="9"/>
    </row>
    <row r="50" spans="1:68" s="9" customFormat="1" ht="11.25" hidden="1">
      <c r="A50" s="25" t="str">
        <f>"10418"</f>
        <v>10418</v>
      </c>
      <c r="B50" s="58"/>
      <c r="C50" s="99" t="s">
        <v>74</v>
      </c>
      <c r="D50" s="99"/>
      <c r="E50" s="6"/>
      <c r="F50" s="6"/>
      <c r="G50" s="6"/>
      <c r="H50" s="28"/>
      <c r="I50" s="6"/>
      <c r="J50" s="6"/>
      <c r="K50" s="6"/>
      <c r="L50" s="6"/>
      <c r="M50" s="6"/>
      <c r="N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4"/>
      <c r="AE50" s="6"/>
      <c r="AF50" s="6"/>
      <c r="AG50" s="6"/>
      <c r="AH50" s="6"/>
      <c r="AI50" s="6"/>
      <c r="AJ50" s="6"/>
      <c r="AK50" s="6"/>
      <c r="AL50" s="6"/>
      <c r="AM50" s="6"/>
      <c r="AN50" s="28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33">
        <f t="shared" si="3"/>
        <v>0</v>
      </c>
      <c r="BN50" s="33"/>
      <c r="BO50" s="33"/>
      <c r="BP50" s="55"/>
    </row>
    <row r="51" spans="1:68" s="9" customFormat="1" ht="11.25" hidden="1">
      <c r="A51" s="25" t="str">
        <f>"10762"</f>
        <v>10762</v>
      </c>
      <c r="B51" s="58"/>
      <c r="C51" s="99" t="s">
        <v>74</v>
      </c>
      <c r="D51" s="99" t="str">
        <f>"A/4 (20/40-ES)"</f>
        <v>A/4 (20/40-ES)</v>
      </c>
      <c r="E51" s="6"/>
      <c r="F51" s="6"/>
      <c r="G51" s="6"/>
      <c r="H51" s="28"/>
      <c r="I51" s="6"/>
      <c r="J51" s="6"/>
      <c r="K51" s="6"/>
      <c r="L51" s="6"/>
      <c r="M51" s="6"/>
      <c r="N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14"/>
      <c r="AE51" s="6"/>
      <c r="AF51" s="6"/>
      <c r="AG51" s="6"/>
      <c r="AH51" s="6"/>
      <c r="AI51" s="6"/>
      <c r="AJ51" s="6"/>
      <c r="AK51" s="6"/>
      <c r="AL51" s="6"/>
      <c r="AM51" s="6"/>
      <c r="AN51" s="28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33">
        <f t="shared" si="3"/>
        <v>0</v>
      </c>
      <c r="BN51" s="33"/>
      <c r="BO51" s="33"/>
      <c r="BP51" s="55"/>
    </row>
    <row r="52" spans="1:68" s="9" customFormat="1" ht="11.25" hidden="1">
      <c r="A52" s="25" t="str">
        <f>"10761"</f>
        <v>10761</v>
      </c>
      <c r="B52" s="58"/>
      <c r="C52" s="99" t="s">
        <v>74</v>
      </c>
      <c r="D52" s="99" t="str">
        <f>"A/4 (40/80-AS)"</f>
        <v>A/4 (40/80-AS)</v>
      </c>
      <c r="E52" s="6"/>
      <c r="F52" s="6"/>
      <c r="G52" s="6"/>
      <c r="H52" s="28"/>
      <c r="I52" s="6"/>
      <c r="J52" s="6"/>
      <c r="K52" s="6"/>
      <c r="L52" s="6"/>
      <c r="M52" s="6"/>
      <c r="N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14"/>
      <c r="AE52" s="6"/>
      <c r="AF52" s="6"/>
      <c r="AG52" s="6"/>
      <c r="AH52" s="6"/>
      <c r="AI52" s="6"/>
      <c r="AJ52" s="6"/>
      <c r="AK52" s="6"/>
      <c r="AL52" s="6"/>
      <c r="AM52" s="6"/>
      <c r="AN52" s="28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33">
        <f t="shared" si="3"/>
        <v>0</v>
      </c>
      <c r="BN52" s="33"/>
      <c r="BO52" s="33"/>
      <c r="BP52" s="55"/>
    </row>
    <row r="53" spans="1:68" s="9" customFormat="1" ht="22.5">
      <c r="A53" s="25" t="str">
        <f>"09210"</f>
        <v>09210</v>
      </c>
      <c r="B53" s="58" t="s">
        <v>250</v>
      </c>
      <c r="C53" s="99" t="str">
        <f>"BORÍTÉK (ÖNTAPADÓS) SZILIKONOS"</f>
        <v>BORÍTÉK (ÖNTAPADÓS) SZILIKONOS</v>
      </c>
      <c r="D53" s="99" t="s">
        <v>126</v>
      </c>
      <c r="E53" s="6"/>
      <c r="F53" s="6"/>
      <c r="G53" s="6"/>
      <c r="H53" s="28"/>
      <c r="I53" s="6"/>
      <c r="J53" s="6"/>
      <c r="K53" s="6">
        <v>100</v>
      </c>
      <c r="L53" s="6">
        <v>200</v>
      </c>
      <c r="M53" s="6"/>
      <c r="N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4"/>
      <c r="AE53" s="6"/>
      <c r="AF53" s="6"/>
      <c r="AG53" s="6"/>
      <c r="AH53" s="6"/>
      <c r="AI53" s="6"/>
      <c r="AJ53" s="6"/>
      <c r="AK53" s="6"/>
      <c r="AL53" s="6"/>
      <c r="AM53" s="6"/>
      <c r="AN53" s="28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>
        <v>20</v>
      </c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>
        <v>20</v>
      </c>
      <c r="BK53" s="6"/>
      <c r="BL53" s="6"/>
      <c r="BM53" s="33">
        <f t="shared" si="3"/>
        <v>340</v>
      </c>
      <c r="BN53" s="33" t="s">
        <v>38</v>
      </c>
      <c r="BO53" s="33"/>
      <c r="BP53" s="55"/>
    </row>
    <row r="54" spans="1:68" s="9" customFormat="1" ht="22.5">
      <c r="A54" s="25" t="str">
        <f>"07586"</f>
        <v>07586</v>
      </c>
      <c r="B54" s="58" t="s">
        <v>251</v>
      </c>
      <c r="C54" s="99" t="str">
        <f>"BORÍTÉK (ÖNTAPADÓS) SZILIKONOS"</f>
        <v>BORÍTÉK (ÖNTAPADÓS) SZILIKONOS</v>
      </c>
      <c r="D54" s="99" t="s">
        <v>124</v>
      </c>
      <c r="E54" s="6"/>
      <c r="F54" s="6"/>
      <c r="G54" s="6"/>
      <c r="H54" s="28"/>
      <c r="I54" s="6"/>
      <c r="J54" s="34">
        <v>1000</v>
      </c>
      <c r="K54" s="6">
        <v>100</v>
      </c>
      <c r="L54" s="6">
        <v>300</v>
      </c>
      <c r="M54" s="6"/>
      <c r="N54" s="6"/>
      <c r="P54" s="6"/>
      <c r="Q54" s="6"/>
      <c r="R54" s="6">
        <v>100</v>
      </c>
      <c r="S54" s="6"/>
      <c r="T54" s="6"/>
      <c r="U54" s="6">
        <v>50</v>
      </c>
      <c r="V54" s="6"/>
      <c r="W54" s="6"/>
      <c r="X54" s="6"/>
      <c r="Y54" s="6"/>
      <c r="Z54" s="6"/>
      <c r="AA54" s="6"/>
      <c r="AB54" s="6"/>
      <c r="AC54" s="6"/>
      <c r="AD54" s="14"/>
      <c r="AE54" s="6"/>
      <c r="AF54" s="6"/>
      <c r="AG54" s="6"/>
      <c r="AH54" s="6"/>
      <c r="AI54" s="6"/>
      <c r="AJ54" s="6"/>
      <c r="AK54" s="6"/>
      <c r="AL54" s="6"/>
      <c r="AM54" s="6"/>
      <c r="AN54" s="28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>
        <v>25</v>
      </c>
      <c r="BJ54" s="6"/>
      <c r="BK54" s="6"/>
      <c r="BL54" s="6"/>
      <c r="BM54" s="33">
        <f t="shared" si="3"/>
        <v>1575</v>
      </c>
      <c r="BN54" s="33" t="s">
        <v>38</v>
      </c>
      <c r="BO54" s="33"/>
      <c r="BP54" s="55"/>
    </row>
    <row r="55" spans="1:68" s="9" customFormat="1" ht="22.5">
      <c r="A55" s="25" t="str">
        <f>"07532"</f>
        <v>07532</v>
      </c>
      <c r="B55" s="58" t="s">
        <v>252</v>
      </c>
      <c r="C55" s="99" t="str">
        <f>"BORÍTÉK (ÖNTAPADÓS) SZILIKONOS"</f>
        <v>BORÍTÉK (ÖNTAPADÓS) SZILIKONOS</v>
      </c>
      <c r="D55" s="99" t="s">
        <v>125</v>
      </c>
      <c r="E55" s="6"/>
      <c r="F55" s="6"/>
      <c r="G55" s="6"/>
      <c r="H55" s="28"/>
      <c r="I55" s="6"/>
      <c r="J55" s="6">
        <v>500</v>
      </c>
      <c r="K55" s="6">
        <v>150</v>
      </c>
      <c r="L55" s="6">
        <v>200</v>
      </c>
      <c r="M55" s="6"/>
      <c r="N55" s="6"/>
      <c r="P55" s="6"/>
      <c r="Q55" s="6"/>
      <c r="R55" s="6">
        <v>200</v>
      </c>
      <c r="S55" s="6"/>
      <c r="T55" s="6"/>
      <c r="U55" s="6">
        <v>100</v>
      </c>
      <c r="V55" s="6"/>
      <c r="W55" s="6"/>
      <c r="X55" s="6"/>
      <c r="Y55" s="6"/>
      <c r="Z55" s="6"/>
      <c r="AA55" s="6"/>
      <c r="AB55" s="6"/>
      <c r="AC55" s="6"/>
      <c r="AD55" s="14"/>
      <c r="AE55" s="6"/>
      <c r="AF55" s="6"/>
      <c r="AG55" s="6"/>
      <c r="AH55" s="6"/>
      <c r="AI55" s="6"/>
      <c r="AJ55" s="6"/>
      <c r="AK55" s="6"/>
      <c r="AL55" s="6"/>
      <c r="AM55" s="6"/>
      <c r="AN55" s="28"/>
      <c r="AO55" s="6"/>
      <c r="AP55" s="6"/>
      <c r="AQ55" s="6"/>
      <c r="AR55" s="6"/>
      <c r="AS55" s="6">
        <v>100</v>
      </c>
      <c r="AT55" s="6"/>
      <c r="AU55" s="6"/>
      <c r="AV55" s="6"/>
      <c r="AW55" s="6"/>
      <c r="AX55" s="6">
        <v>50</v>
      </c>
      <c r="AY55" s="6">
        <v>50</v>
      </c>
      <c r="AZ55" s="6"/>
      <c r="BA55" s="6"/>
      <c r="BB55" s="6"/>
      <c r="BC55" s="6"/>
      <c r="BD55" s="6"/>
      <c r="BE55" s="6">
        <v>20</v>
      </c>
      <c r="BF55" s="6"/>
      <c r="BG55" s="6"/>
      <c r="BH55" s="6"/>
      <c r="BI55" s="6">
        <v>200</v>
      </c>
      <c r="BJ55" s="6"/>
      <c r="BK55" s="6"/>
      <c r="BL55" s="6"/>
      <c r="BM55" s="33">
        <f t="shared" si="3"/>
        <v>1570</v>
      </c>
      <c r="BN55" s="33" t="s">
        <v>38</v>
      </c>
      <c r="BO55" s="33"/>
      <c r="BP55" s="55"/>
    </row>
    <row r="56" spans="1:68" s="9" customFormat="1" ht="22.5" hidden="1">
      <c r="A56" s="25" t="str">
        <f>"08572"</f>
        <v>08572</v>
      </c>
      <c r="B56" s="58"/>
      <c r="C56" s="99" t="str">
        <f aca="true" t="shared" si="4" ref="C56:C63">"DOSSZIÉ (MŰANYAG HÁTLAPOS) FŰZŐS"</f>
        <v>DOSSZIÉ (MŰANYAG HÁTLAPOS) FŰZŐS</v>
      </c>
      <c r="D56" s="99" t="str">
        <f>"A/4"</f>
        <v>A/4</v>
      </c>
      <c r="E56" s="6"/>
      <c r="F56" s="6"/>
      <c r="G56" s="6"/>
      <c r="H56" s="28"/>
      <c r="I56" s="6"/>
      <c r="J56" s="6"/>
      <c r="K56" s="6"/>
      <c r="L56" s="6"/>
      <c r="M56" s="6"/>
      <c r="N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14"/>
      <c r="AE56" s="6"/>
      <c r="AF56" s="6"/>
      <c r="AG56" s="6"/>
      <c r="AH56" s="6"/>
      <c r="AI56" s="6"/>
      <c r="AJ56" s="6"/>
      <c r="AK56" s="6"/>
      <c r="AL56" s="6"/>
      <c r="AM56" s="6"/>
      <c r="AN56" s="28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33">
        <f t="shared" si="3"/>
        <v>0</v>
      </c>
      <c r="BN56" s="33" t="s">
        <v>38</v>
      </c>
      <c r="BO56" s="33"/>
      <c r="BP56" s="55"/>
    </row>
    <row r="57" spans="1:68" s="9" customFormat="1" ht="22.5" hidden="1">
      <c r="A57" s="25" t="str">
        <f>"07484"</f>
        <v>07484</v>
      </c>
      <c r="B57" s="58"/>
      <c r="C57" s="99" t="str">
        <f t="shared" si="4"/>
        <v>DOSSZIÉ (MŰANYAG HÁTLAPOS) FŰZŐS</v>
      </c>
      <c r="D57" s="99" t="str">
        <f>"A/5"</f>
        <v>A/5</v>
      </c>
      <c r="E57" s="6"/>
      <c r="F57" s="6"/>
      <c r="G57" s="6"/>
      <c r="H57" s="28"/>
      <c r="I57" s="6"/>
      <c r="J57" s="6"/>
      <c r="K57" s="6"/>
      <c r="L57" s="6"/>
      <c r="M57" s="6"/>
      <c r="N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4"/>
      <c r="AE57" s="6"/>
      <c r="AF57" s="6"/>
      <c r="AG57" s="6"/>
      <c r="AH57" s="6"/>
      <c r="AI57" s="6"/>
      <c r="AJ57" s="6"/>
      <c r="AK57" s="6"/>
      <c r="AL57" s="6"/>
      <c r="AM57" s="6"/>
      <c r="AN57" s="28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33">
        <f t="shared" si="3"/>
        <v>0</v>
      </c>
      <c r="BN57" s="33" t="s">
        <v>38</v>
      </c>
      <c r="BO57" s="33"/>
      <c r="BP57" s="55"/>
    </row>
    <row r="58" spans="1:68" s="9" customFormat="1" ht="22.5" hidden="1">
      <c r="A58" s="25" t="str">
        <f>"09430"</f>
        <v>09430</v>
      </c>
      <c r="B58" s="58"/>
      <c r="C58" s="99" t="str">
        <f t="shared" si="4"/>
        <v>DOSSZIÉ (MŰANYAG HÁTLAPOS) FŰZŐS</v>
      </c>
      <c r="D58" s="99" t="s">
        <v>22</v>
      </c>
      <c r="E58" s="6"/>
      <c r="F58" s="6"/>
      <c r="G58" s="6"/>
      <c r="H58" s="28"/>
      <c r="I58" s="6"/>
      <c r="J58" s="6"/>
      <c r="K58" s="6"/>
      <c r="L58" s="6"/>
      <c r="M58" s="6"/>
      <c r="N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14"/>
      <c r="AE58" s="6"/>
      <c r="AF58" s="6"/>
      <c r="AG58" s="6"/>
      <c r="AH58" s="6"/>
      <c r="AI58" s="6"/>
      <c r="AJ58" s="6"/>
      <c r="AK58" s="6"/>
      <c r="AL58" s="6"/>
      <c r="AM58" s="6"/>
      <c r="AN58" s="28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33">
        <f t="shared" si="3"/>
        <v>0</v>
      </c>
      <c r="BN58" s="33" t="s">
        <v>38</v>
      </c>
      <c r="BO58" s="33"/>
      <c r="BP58" s="55"/>
    </row>
    <row r="59" spans="1:69" s="9" customFormat="1" ht="22.5" hidden="1">
      <c r="A59" s="25" t="str">
        <f>"07540"</f>
        <v>07540</v>
      </c>
      <c r="B59" s="58"/>
      <c r="C59" s="99" t="str">
        <f t="shared" si="4"/>
        <v>DOSSZIÉ (MŰANYAG HÁTLAPOS) FŰZŐS</v>
      </c>
      <c r="D59" s="99"/>
      <c r="E59" s="6"/>
      <c r="F59" s="6"/>
      <c r="G59" s="6"/>
      <c r="H59" s="28"/>
      <c r="I59" s="6"/>
      <c r="J59" s="6"/>
      <c r="K59" s="6"/>
      <c r="L59" s="6"/>
      <c r="M59" s="6"/>
      <c r="N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14"/>
      <c r="AE59" s="6"/>
      <c r="AF59" s="6"/>
      <c r="AG59" s="6"/>
      <c r="AH59" s="6"/>
      <c r="AI59" s="6"/>
      <c r="AJ59" s="6"/>
      <c r="AK59" s="6"/>
      <c r="AL59" s="6"/>
      <c r="AM59" s="6"/>
      <c r="AN59" s="28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33">
        <f t="shared" si="3"/>
        <v>0</v>
      </c>
      <c r="BN59" s="33" t="s">
        <v>38</v>
      </c>
      <c r="BO59" s="33"/>
      <c r="BP59" s="55"/>
      <c r="BQ59" s="10"/>
    </row>
    <row r="60" spans="1:68" s="10" customFormat="1" ht="22.5" hidden="1">
      <c r="A60" s="25" t="str">
        <f>"12888"</f>
        <v>12888</v>
      </c>
      <c r="B60" s="58"/>
      <c r="C60" s="99" t="str">
        <f t="shared" si="4"/>
        <v>DOSSZIÉ (MŰANYAG HÁTLAPOS) FŰZŐS</v>
      </c>
      <c r="D60" s="99"/>
      <c r="E60" s="5"/>
      <c r="F60" s="5"/>
      <c r="G60" s="5"/>
      <c r="H60" s="28"/>
      <c r="I60" s="5"/>
      <c r="J60" s="5"/>
      <c r="K60" s="5"/>
      <c r="L60" s="5"/>
      <c r="M60" s="5"/>
      <c r="N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13"/>
      <c r="AE60" s="5"/>
      <c r="AF60" s="5"/>
      <c r="AG60" s="5"/>
      <c r="AH60" s="5"/>
      <c r="AI60" s="5"/>
      <c r="AJ60" s="5"/>
      <c r="AK60" s="5"/>
      <c r="AL60" s="5"/>
      <c r="AM60" s="5"/>
      <c r="AN60" s="28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33">
        <f t="shared" si="3"/>
        <v>0</v>
      </c>
      <c r="BN60" s="33" t="s">
        <v>38</v>
      </c>
      <c r="BO60" s="28"/>
      <c r="BP60" s="58"/>
    </row>
    <row r="61" spans="1:68" s="10" customFormat="1" ht="22.5" hidden="1">
      <c r="A61" s="25" t="str">
        <f>"13594"</f>
        <v>13594</v>
      </c>
      <c r="B61" s="58"/>
      <c r="C61" s="99" t="str">
        <f t="shared" si="4"/>
        <v>DOSSZIÉ (MŰANYAG HÁTLAPOS) FŰZŐS</v>
      </c>
      <c r="D61" s="99" t="str">
        <f>"B.318-206"</f>
        <v>B.318-206</v>
      </c>
      <c r="E61" s="5"/>
      <c r="F61" s="5"/>
      <c r="G61" s="5"/>
      <c r="H61" s="28"/>
      <c r="I61" s="5"/>
      <c r="J61" s="5"/>
      <c r="K61" s="5"/>
      <c r="L61" s="5"/>
      <c r="M61" s="5"/>
      <c r="N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13"/>
      <c r="AE61" s="5"/>
      <c r="AF61" s="5"/>
      <c r="AG61" s="5"/>
      <c r="AH61" s="5"/>
      <c r="AI61" s="5"/>
      <c r="AJ61" s="5"/>
      <c r="AK61" s="5"/>
      <c r="AL61" s="5"/>
      <c r="AM61" s="5"/>
      <c r="AN61" s="28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33">
        <f t="shared" si="3"/>
        <v>0</v>
      </c>
      <c r="BN61" s="33" t="s">
        <v>38</v>
      </c>
      <c r="BO61" s="28"/>
      <c r="BP61" s="58"/>
    </row>
    <row r="62" spans="1:68" s="10" customFormat="1" ht="22.5" hidden="1">
      <c r="A62" s="25" t="str">
        <f>"10951"</f>
        <v>10951</v>
      </c>
      <c r="B62" s="58"/>
      <c r="C62" s="99" t="str">
        <f t="shared" si="4"/>
        <v>DOSSZIÉ (MŰANYAG HÁTLAPOS) FŰZŐS</v>
      </c>
      <c r="D62" s="99" t="str">
        <f>"C.18-72"</f>
        <v>C.18-72</v>
      </c>
      <c r="E62" s="5"/>
      <c r="F62" s="5"/>
      <c r="G62" s="5"/>
      <c r="H62" s="28"/>
      <c r="I62" s="5"/>
      <c r="J62" s="5"/>
      <c r="K62" s="5"/>
      <c r="L62" s="5"/>
      <c r="M62" s="5"/>
      <c r="N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13"/>
      <c r="AE62" s="5"/>
      <c r="AF62" s="5"/>
      <c r="AG62" s="5"/>
      <c r="AH62" s="5"/>
      <c r="AI62" s="5"/>
      <c r="AJ62" s="5"/>
      <c r="AK62" s="5"/>
      <c r="AL62" s="5"/>
      <c r="AM62" s="5"/>
      <c r="AN62" s="28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33">
        <f t="shared" si="3"/>
        <v>0</v>
      </c>
      <c r="BN62" s="33" t="s">
        <v>38</v>
      </c>
      <c r="BO62" s="28"/>
      <c r="BP62" s="58"/>
    </row>
    <row r="63" spans="1:68" s="10" customFormat="1" ht="22.5" hidden="1">
      <c r="A63" s="25" t="str">
        <f>"12395"</f>
        <v>12395</v>
      </c>
      <c r="B63" s="58"/>
      <c r="C63" s="99" t="str">
        <f t="shared" si="4"/>
        <v>DOSSZIÉ (MŰANYAG HÁTLAPOS) FŰZŐS</v>
      </c>
      <c r="D63" s="99"/>
      <c r="E63" s="5"/>
      <c r="F63" s="5"/>
      <c r="G63" s="5"/>
      <c r="H63" s="28"/>
      <c r="I63" s="5"/>
      <c r="J63" s="5"/>
      <c r="K63" s="5"/>
      <c r="L63" s="5"/>
      <c r="M63" s="5"/>
      <c r="N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13"/>
      <c r="AE63" s="5"/>
      <c r="AF63" s="5"/>
      <c r="AG63" s="5"/>
      <c r="AH63" s="5"/>
      <c r="AI63" s="5"/>
      <c r="AJ63" s="5"/>
      <c r="AK63" s="5"/>
      <c r="AL63" s="5"/>
      <c r="AM63" s="5"/>
      <c r="AN63" s="28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33">
        <f t="shared" si="3"/>
        <v>0</v>
      </c>
      <c r="BN63" s="33" t="s">
        <v>38</v>
      </c>
      <c r="BO63" s="28"/>
      <c r="BP63" s="58"/>
    </row>
    <row r="64" spans="1:69" s="9" customFormat="1" ht="22.5">
      <c r="A64" s="25" t="str">
        <f>"07526"</f>
        <v>07526</v>
      </c>
      <c r="B64" s="58" t="s">
        <v>253</v>
      </c>
      <c r="C64" s="99" t="s">
        <v>199</v>
      </c>
      <c r="D64" s="99" t="s">
        <v>198</v>
      </c>
      <c r="E64" s="6"/>
      <c r="F64" s="6"/>
      <c r="G64" s="6"/>
      <c r="H64" s="28"/>
      <c r="I64" s="6"/>
      <c r="J64" s="6"/>
      <c r="K64" s="6"/>
      <c r="L64" s="6"/>
      <c r="M64" s="6"/>
      <c r="N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14"/>
      <c r="AE64" s="6"/>
      <c r="AF64" s="6"/>
      <c r="AG64" s="6"/>
      <c r="AH64" s="6"/>
      <c r="AI64" s="6"/>
      <c r="AJ64" s="6"/>
      <c r="AK64" s="6"/>
      <c r="AL64" s="6"/>
      <c r="AM64" s="6"/>
      <c r="AN64" s="28"/>
      <c r="AO64" s="6"/>
      <c r="AP64" s="6"/>
      <c r="AQ64" s="6"/>
      <c r="AR64" s="6"/>
      <c r="AS64" s="6">
        <v>10</v>
      </c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>
        <v>20</v>
      </c>
      <c r="BG64" s="6"/>
      <c r="BH64" s="6"/>
      <c r="BI64" s="6"/>
      <c r="BJ64" s="6"/>
      <c r="BK64" s="6"/>
      <c r="BL64" s="6"/>
      <c r="BM64" s="33">
        <f t="shared" si="3"/>
        <v>30</v>
      </c>
      <c r="BN64" s="33" t="s">
        <v>38</v>
      </c>
      <c r="BO64" s="33"/>
      <c r="BP64" s="55"/>
      <c r="BQ64" s="10"/>
    </row>
    <row r="65" spans="1:68" s="9" customFormat="1" ht="22.5">
      <c r="A65" s="25" t="str">
        <f>"09127"</f>
        <v>09127</v>
      </c>
      <c r="B65" s="58" t="s">
        <v>254</v>
      </c>
      <c r="C65" s="100" t="s">
        <v>173</v>
      </c>
      <c r="D65" s="100" t="s">
        <v>175</v>
      </c>
      <c r="E65" s="6"/>
      <c r="F65" s="6"/>
      <c r="G65" s="6"/>
      <c r="I65" s="6"/>
      <c r="J65" s="6">
        <v>5</v>
      </c>
      <c r="K65" s="6"/>
      <c r="L65" s="6"/>
      <c r="M65" s="6"/>
      <c r="N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14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>
        <v>10</v>
      </c>
      <c r="BK65" s="6"/>
      <c r="BL65" s="6"/>
      <c r="BM65" s="33">
        <f t="shared" si="3"/>
        <v>15</v>
      </c>
      <c r="BN65" s="33" t="s">
        <v>38</v>
      </c>
      <c r="BO65" s="33"/>
      <c r="BP65" s="55"/>
    </row>
    <row r="66" spans="1:68" s="9" customFormat="1" ht="22.5">
      <c r="A66" s="25" t="str">
        <f>"07487"</f>
        <v>07487</v>
      </c>
      <c r="B66" s="58" t="s">
        <v>255</v>
      </c>
      <c r="C66" s="100" t="s">
        <v>220</v>
      </c>
      <c r="D66" s="100" t="s">
        <v>175</v>
      </c>
      <c r="E66" s="6"/>
      <c r="F66" s="6"/>
      <c r="G66" s="6"/>
      <c r="H66" s="6"/>
      <c r="I66" s="6"/>
      <c r="J66" s="6"/>
      <c r="K66" s="6"/>
      <c r="L66" s="6"/>
      <c r="M66" s="6"/>
      <c r="N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14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>
        <v>10</v>
      </c>
      <c r="BK66" s="6"/>
      <c r="BL66" s="6"/>
      <c r="BM66" s="33">
        <f t="shared" si="3"/>
        <v>10</v>
      </c>
      <c r="BN66" s="33" t="s">
        <v>38</v>
      </c>
      <c r="BO66" s="33"/>
      <c r="BP66" s="55"/>
    </row>
    <row r="67" spans="1:68" s="10" customFormat="1" ht="11.25">
      <c r="A67" s="25" t="str">
        <f>"02491"</f>
        <v>02491</v>
      </c>
      <c r="B67" s="58" t="s">
        <v>256</v>
      </c>
      <c r="C67" s="99" t="s">
        <v>72</v>
      </c>
      <c r="D67" s="99" t="s">
        <v>25</v>
      </c>
      <c r="E67" s="5"/>
      <c r="F67" s="5"/>
      <c r="G67" s="5"/>
      <c r="H67" s="28">
        <v>1</v>
      </c>
      <c r="I67" s="5"/>
      <c r="J67" s="5"/>
      <c r="K67" s="5">
        <v>1</v>
      </c>
      <c r="L67" s="5">
        <v>1</v>
      </c>
      <c r="M67" s="5"/>
      <c r="N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13"/>
      <c r="AE67" s="5"/>
      <c r="AF67" s="5"/>
      <c r="AG67" s="5"/>
      <c r="AH67" s="5"/>
      <c r="AI67" s="5"/>
      <c r="AJ67" s="5"/>
      <c r="AK67" s="5"/>
      <c r="AL67" s="5"/>
      <c r="AM67" s="5"/>
      <c r="AN67" s="28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33">
        <f t="shared" si="3"/>
        <v>3</v>
      </c>
      <c r="BN67" s="33" t="s">
        <v>38</v>
      </c>
      <c r="BO67" s="28"/>
      <c r="BP67" s="58"/>
    </row>
    <row r="68" spans="1:68" s="10" customFormat="1" ht="11.25">
      <c r="A68" s="25" t="str">
        <f>"08562"</f>
        <v>08562</v>
      </c>
      <c r="B68" s="58" t="s">
        <v>257</v>
      </c>
      <c r="C68" s="99" t="str">
        <f>"CERUZA (ZEBRA) PIXIRON"</f>
        <v>CERUZA (ZEBRA) PIXIRON</v>
      </c>
      <c r="D68" s="99" t="str">
        <f>"0,7 MM"</f>
        <v>0,7 MM</v>
      </c>
      <c r="E68" s="5"/>
      <c r="F68" s="5"/>
      <c r="G68" s="5"/>
      <c r="H68" s="28"/>
      <c r="I68" s="5"/>
      <c r="J68" s="5"/>
      <c r="K68" s="5"/>
      <c r="L68" s="5"/>
      <c r="M68" s="5"/>
      <c r="N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13"/>
      <c r="AE68" s="5"/>
      <c r="AF68" s="5"/>
      <c r="AG68" s="5"/>
      <c r="AH68" s="5"/>
      <c r="AI68" s="5"/>
      <c r="AJ68" s="5"/>
      <c r="AK68" s="5"/>
      <c r="AL68" s="5"/>
      <c r="AM68" s="5"/>
      <c r="AN68" s="28"/>
      <c r="AO68" s="5"/>
      <c r="AP68" s="5"/>
      <c r="AQ68" s="5"/>
      <c r="AR68" s="5"/>
      <c r="AS68" s="5"/>
      <c r="AT68" s="5"/>
      <c r="AU68" s="5"/>
      <c r="AV68" s="5"/>
      <c r="AW68" s="5"/>
      <c r="AX68" s="5">
        <v>1</v>
      </c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>
        <v>1</v>
      </c>
      <c r="BJ68" s="5"/>
      <c r="BK68" s="5"/>
      <c r="BL68" s="5"/>
      <c r="BM68" s="33">
        <f t="shared" si="3"/>
        <v>2</v>
      </c>
      <c r="BN68" s="33" t="s">
        <v>38</v>
      </c>
      <c r="BO68" s="28"/>
      <c r="BP68" s="58"/>
    </row>
    <row r="69" spans="1:68" s="10" customFormat="1" ht="11.25">
      <c r="A69" s="25" t="str">
        <f>"14292"</f>
        <v>14292</v>
      </c>
      <c r="B69" s="58" t="s">
        <v>258</v>
      </c>
      <c r="C69" s="99" t="str">
        <f>"CERUZA (ZEBRA) PIXIRON"</f>
        <v>CERUZA (ZEBRA) PIXIRON</v>
      </c>
      <c r="D69" s="99" t="str">
        <f>"0.5 MM"</f>
        <v>0.5 MM</v>
      </c>
      <c r="E69" s="5"/>
      <c r="F69" s="5"/>
      <c r="G69" s="5"/>
      <c r="H69" s="28"/>
      <c r="I69" s="5"/>
      <c r="J69" s="5"/>
      <c r="K69" s="5">
        <v>2</v>
      </c>
      <c r="L69" s="5">
        <v>2</v>
      </c>
      <c r="M69" s="5">
        <v>2</v>
      </c>
      <c r="N69" s="5"/>
      <c r="P69" s="5"/>
      <c r="Q69" s="5"/>
      <c r="R69" s="5"/>
      <c r="S69" s="5"/>
      <c r="T69" s="5"/>
      <c r="U69" s="5"/>
      <c r="V69" s="5"/>
      <c r="W69" s="5"/>
      <c r="X69" s="5"/>
      <c r="Y69" s="5">
        <v>2</v>
      </c>
      <c r="Z69" s="5">
        <v>1</v>
      </c>
      <c r="AA69" s="5"/>
      <c r="AB69" s="5">
        <v>1</v>
      </c>
      <c r="AC69" s="5"/>
      <c r="AD69" s="13"/>
      <c r="AE69" s="5"/>
      <c r="AF69" s="5"/>
      <c r="AG69" s="5"/>
      <c r="AH69" s="5"/>
      <c r="AI69" s="5"/>
      <c r="AJ69" s="5"/>
      <c r="AK69" s="5"/>
      <c r="AL69" s="5"/>
      <c r="AM69" s="5"/>
      <c r="AN69" s="28"/>
      <c r="AO69" s="5"/>
      <c r="AP69" s="5"/>
      <c r="AQ69" s="5"/>
      <c r="AR69" s="5"/>
      <c r="AS69" s="5"/>
      <c r="AT69" s="5"/>
      <c r="AU69" s="5"/>
      <c r="AV69" s="5"/>
      <c r="AW69" s="5"/>
      <c r="AX69" s="5">
        <v>1</v>
      </c>
      <c r="AY69" s="5">
        <v>1</v>
      </c>
      <c r="AZ69" s="5"/>
      <c r="BA69" s="5"/>
      <c r="BB69" s="5"/>
      <c r="BC69" s="5"/>
      <c r="BD69" s="5"/>
      <c r="BE69" s="5"/>
      <c r="BF69" s="5"/>
      <c r="BG69" s="5"/>
      <c r="BH69" s="5"/>
      <c r="BI69" s="5">
        <v>2</v>
      </c>
      <c r="BJ69" s="5"/>
      <c r="BK69" s="5"/>
      <c r="BL69" s="5"/>
      <c r="BM69" s="33">
        <f t="shared" si="3"/>
        <v>14</v>
      </c>
      <c r="BN69" s="33" t="s">
        <v>38</v>
      </c>
      <c r="BO69" s="28"/>
      <c r="BP69" s="58"/>
    </row>
    <row r="70" spans="1:68" s="10" customFormat="1" ht="11.25" hidden="1">
      <c r="A70" s="25">
        <v>14298</v>
      </c>
      <c r="B70" s="58"/>
      <c r="C70" s="99" t="str">
        <f>"EMELŐGÉP NAPLÓ"</f>
        <v>EMELŐGÉP NAPLÓ</v>
      </c>
      <c r="D70" s="99" t="str">
        <f>"A/5"</f>
        <v>A/5</v>
      </c>
      <c r="E70" s="5"/>
      <c r="F70" s="5"/>
      <c r="G70" s="5"/>
      <c r="H70" s="28"/>
      <c r="I70" s="5"/>
      <c r="J70" s="5"/>
      <c r="K70" s="5"/>
      <c r="L70" s="5"/>
      <c r="M70" s="7"/>
      <c r="N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13"/>
      <c r="AE70" s="5"/>
      <c r="AF70" s="5"/>
      <c r="AG70" s="5"/>
      <c r="AH70" s="5"/>
      <c r="AI70" s="5"/>
      <c r="AJ70" s="5"/>
      <c r="AK70" s="5"/>
      <c r="AL70" s="5"/>
      <c r="AM70" s="5"/>
      <c r="AN70" s="30"/>
      <c r="AO70" s="5"/>
      <c r="AP70" s="7"/>
      <c r="AQ70" s="5"/>
      <c r="AR70" s="5"/>
      <c r="AS70" s="5"/>
      <c r="AT70" s="5"/>
      <c r="AU70" s="5"/>
      <c r="AV70" s="5"/>
      <c r="AW70" s="5"/>
      <c r="AX70" s="5"/>
      <c r="AY70" s="5"/>
      <c r="AZ70" s="29"/>
      <c r="BA70" s="29"/>
      <c r="BB70" s="29"/>
      <c r="BC70" s="29"/>
      <c r="BD70" s="5"/>
      <c r="BE70" s="5"/>
      <c r="BF70" s="5"/>
      <c r="BG70" s="5"/>
      <c r="BH70" s="5"/>
      <c r="BI70" s="5"/>
      <c r="BJ70" s="5"/>
      <c r="BK70" s="5"/>
      <c r="BL70" s="5"/>
      <c r="BM70" s="33">
        <f t="shared" si="3"/>
        <v>0</v>
      </c>
      <c r="BN70" s="33" t="s">
        <v>38</v>
      </c>
      <c r="BO70" s="28"/>
      <c r="BP70" s="58"/>
    </row>
    <row r="71" spans="1:68" s="10" customFormat="1" ht="22.5" hidden="1">
      <c r="A71" s="25">
        <v>14298</v>
      </c>
      <c r="B71" s="58"/>
      <c r="C71" s="99" t="str">
        <f>"ENGEDÉLY TŰZVESZÉLYES MUNKAVÉGZÉSHEZ"</f>
        <v>ENGEDÉLY TŰZVESZÉLYES MUNKAVÉGZÉSHEZ</v>
      </c>
      <c r="D71" s="99" t="str">
        <f>"A/4 (25X2)"</f>
        <v>A/4 (25X2)</v>
      </c>
      <c r="E71" s="5"/>
      <c r="F71" s="5"/>
      <c r="G71" s="5"/>
      <c r="H71" s="28"/>
      <c r="I71" s="5"/>
      <c r="J71" s="5"/>
      <c r="K71" s="5"/>
      <c r="L71" s="5"/>
      <c r="M71" s="7"/>
      <c r="N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13"/>
      <c r="AE71" s="5"/>
      <c r="AF71" s="5"/>
      <c r="AG71" s="5"/>
      <c r="AH71" s="5"/>
      <c r="AI71" s="5"/>
      <c r="AJ71" s="5"/>
      <c r="AK71" s="5"/>
      <c r="AL71" s="5"/>
      <c r="AM71" s="5"/>
      <c r="AN71" s="30"/>
      <c r="AO71" s="5"/>
      <c r="AP71" s="7"/>
      <c r="AQ71" s="5"/>
      <c r="AR71" s="5"/>
      <c r="AS71" s="5"/>
      <c r="AT71" s="5"/>
      <c r="AU71" s="5"/>
      <c r="AV71" s="5"/>
      <c r="AW71" s="5"/>
      <c r="AX71" s="5"/>
      <c r="AY71" s="5"/>
      <c r="AZ71" s="29"/>
      <c r="BA71" s="29"/>
      <c r="BB71" s="29"/>
      <c r="BC71" s="29"/>
      <c r="BD71" s="5"/>
      <c r="BE71" s="5"/>
      <c r="BF71" s="5"/>
      <c r="BG71" s="5"/>
      <c r="BH71" s="5"/>
      <c r="BI71" s="5"/>
      <c r="BJ71" s="5"/>
      <c r="BK71" s="5"/>
      <c r="BL71" s="5"/>
      <c r="BM71" s="33">
        <f t="shared" si="3"/>
        <v>0</v>
      </c>
      <c r="BN71" s="33" t="s">
        <v>38</v>
      </c>
      <c r="BO71" s="28"/>
      <c r="BP71" s="58"/>
    </row>
    <row r="72" spans="1:68" s="10" customFormat="1" ht="11.25" hidden="1">
      <c r="A72" s="25">
        <v>14298</v>
      </c>
      <c r="B72" s="58"/>
      <c r="C72" s="99" t="str">
        <f>"ÉPÍTÉSI NAPLÓ (25X3)"</f>
        <v>ÉPÍTÉSI NAPLÓ (25X3)</v>
      </c>
      <c r="D72" s="99" t="str">
        <f>"PÁTRIA"</f>
        <v>PÁTRIA</v>
      </c>
      <c r="E72" s="5"/>
      <c r="F72" s="5"/>
      <c r="G72" s="5"/>
      <c r="H72" s="28"/>
      <c r="I72" s="5"/>
      <c r="J72" s="5"/>
      <c r="K72" s="5"/>
      <c r="L72" s="5"/>
      <c r="M72" s="7"/>
      <c r="N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13"/>
      <c r="AE72" s="5"/>
      <c r="AF72" s="5"/>
      <c r="AG72" s="5"/>
      <c r="AH72" s="5"/>
      <c r="AI72" s="5"/>
      <c r="AJ72" s="5"/>
      <c r="AK72" s="5"/>
      <c r="AL72" s="5"/>
      <c r="AM72" s="5"/>
      <c r="AN72" s="30"/>
      <c r="AO72" s="5"/>
      <c r="AP72" s="7"/>
      <c r="AQ72" s="5"/>
      <c r="AR72" s="5"/>
      <c r="AS72" s="5"/>
      <c r="AT72" s="5"/>
      <c r="AU72" s="5"/>
      <c r="AV72" s="5"/>
      <c r="AW72" s="5"/>
      <c r="AX72" s="5"/>
      <c r="AY72" s="5"/>
      <c r="AZ72" s="29"/>
      <c r="BA72" s="29"/>
      <c r="BB72" s="29"/>
      <c r="BC72" s="29"/>
      <c r="BD72" s="5"/>
      <c r="BE72" s="5"/>
      <c r="BF72" s="5"/>
      <c r="BG72" s="5"/>
      <c r="BH72" s="5"/>
      <c r="BI72" s="5"/>
      <c r="BJ72" s="5"/>
      <c r="BK72" s="5"/>
      <c r="BL72" s="5"/>
      <c r="BM72" s="33">
        <f t="shared" si="3"/>
        <v>0</v>
      </c>
      <c r="BN72" s="33" t="s">
        <v>38</v>
      </c>
      <c r="BO72" s="28"/>
      <c r="BP72" s="58"/>
    </row>
    <row r="73" spans="1:68" s="10" customFormat="1" ht="11.25" hidden="1">
      <c r="A73" s="25">
        <v>14298</v>
      </c>
      <c r="B73" s="58"/>
      <c r="C73" s="99" t="str">
        <f>"ETIKETT CIMKE"</f>
        <v>ETIKETT CIMKE</v>
      </c>
      <c r="D73" s="99" t="str">
        <f>"105X058 MM"</f>
        <v>105X058 MM</v>
      </c>
      <c r="E73" s="5"/>
      <c r="F73" s="5"/>
      <c r="G73" s="5"/>
      <c r="H73" s="28"/>
      <c r="I73" s="5"/>
      <c r="J73" s="5"/>
      <c r="K73" s="5"/>
      <c r="L73" s="5"/>
      <c r="M73" s="7"/>
      <c r="N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13"/>
      <c r="AE73" s="5"/>
      <c r="AF73" s="5"/>
      <c r="AG73" s="5"/>
      <c r="AH73" s="5"/>
      <c r="AI73" s="5"/>
      <c r="AJ73" s="5"/>
      <c r="AK73" s="5"/>
      <c r="AL73" s="5"/>
      <c r="AM73" s="5"/>
      <c r="AN73" s="30"/>
      <c r="AO73" s="5"/>
      <c r="AP73" s="7"/>
      <c r="AQ73" s="5"/>
      <c r="AR73" s="5"/>
      <c r="AS73" s="5"/>
      <c r="AT73" s="5"/>
      <c r="AU73" s="5"/>
      <c r="AV73" s="5"/>
      <c r="AW73" s="5"/>
      <c r="AX73" s="5"/>
      <c r="AY73" s="5"/>
      <c r="AZ73" s="29"/>
      <c r="BA73" s="29"/>
      <c r="BB73" s="29"/>
      <c r="BC73" s="29"/>
      <c r="BD73" s="5"/>
      <c r="BE73" s="5"/>
      <c r="BF73" s="5"/>
      <c r="BG73" s="5"/>
      <c r="BH73" s="5"/>
      <c r="BI73" s="5"/>
      <c r="BJ73" s="5"/>
      <c r="BK73" s="5"/>
      <c r="BL73" s="5"/>
      <c r="BM73" s="33">
        <f t="shared" si="3"/>
        <v>0</v>
      </c>
      <c r="BN73" s="33" t="s">
        <v>38</v>
      </c>
      <c r="BO73" s="28"/>
      <c r="BP73" s="58"/>
    </row>
    <row r="74" spans="1:68" s="10" customFormat="1" ht="11.25" hidden="1">
      <c r="A74" s="25">
        <v>14298</v>
      </c>
      <c r="B74" s="58"/>
      <c r="C74" s="99" t="str">
        <f>"ETIKETT CIMKE"</f>
        <v>ETIKETT CIMKE</v>
      </c>
      <c r="D74" s="99" t="str">
        <f>"35 MM"</f>
        <v>35 MM</v>
      </c>
      <c r="E74" s="5"/>
      <c r="F74" s="5"/>
      <c r="G74" s="5"/>
      <c r="H74" s="28"/>
      <c r="I74" s="5"/>
      <c r="J74" s="5"/>
      <c r="K74" s="5"/>
      <c r="L74" s="5"/>
      <c r="M74" s="7"/>
      <c r="N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13"/>
      <c r="AE74" s="5"/>
      <c r="AF74" s="5"/>
      <c r="AG74" s="5"/>
      <c r="AH74" s="5"/>
      <c r="AI74" s="5"/>
      <c r="AJ74" s="5"/>
      <c r="AK74" s="5"/>
      <c r="AL74" s="5"/>
      <c r="AM74" s="5"/>
      <c r="AN74" s="30"/>
      <c r="AO74" s="5"/>
      <c r="AP74" s="7"/>
      <c r="AQ74" s="5"/>
      <c r="AR74" s="5"/>
      <c r="AS74" s="5"/>
      <c r="AT74" s="5"/>
      <c r="AU74" s="5"/>
      <c r="AV74" s="5"/>
      <c r="AW74" s="5"/>
      <c r="AX74" s="5"/>
      <c r="AY74" s="5"/>
      <c r="AZ74" s="29"/>
      <c r="BA74" s="29"/>
      <c r="BB74" s="29"/>
      <c r="BC74" s="29"/>
      <c r="BD74" s="5"/>
      <c r="BE74" s="5"/>
      <c r="BF74" s="5"/>
      <c r="BG74" s="5"/>
      <c r="BH74" s="5"/>
      <c r="BI74" s="5"/>
      <c r="BJ74" s="5"/>
      <c r="BK74" s="5"/>
      <c r="BL74" s="5"/>
      <c r="BM74" s="33">
        <f t="shared" si="3"/>
        <v>0</v>
      </c>
      <c r="BN74" s="33" t="s">
        <v>38</v>
      </c>
      <c r="BO74" s="28"/>
      <c r="BP74" s="58"/>
    </row>
    <row r="75" spans="1:68" s="10" customFormat="1" ht="11.25" hidden="1">
      <c r="A75" s="25">
        <v>14298</v>
      </c>
      <c r="B75" s="58"/>
      <c r="C75" s="99" t="str">
        <f>"ETIKETT CIMKE"</f>
        <v>ETIKETT CIMKE</v>
      </c>
      <c r="D75" s="99"/>
      <c r="E75" s="5"/>
      <c r="F75" s="5"/>
      <c r="G75" s="5"/>
      <c r="H75" s="28"/>
      <c r="I75" s="5"/>
      <c r="J75" s="5"/>
      <c r="K75" s="5"/>
      <c r="L75" s="5"/>
      <c r="M75" s="7"/>
      <c r="N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13"/>
      <c r="AE75" s="5"/>
      <c r="AF75" s="5"/>
      <c r="AG75" s="5"/>
      <c r="AH75" s="5"/>
      <c r="AI75" s="5"/>
      <c r="AJ75" s="5"/>
      <c r="AK75" s="5"/>
      <c r="AL75" s="5"/>
      <c r="AM75" s="5"/>
      <c r="AN75" s="30"/>
      <c r="AO75" s="5"/>
      <c r="AP75" s="7"/>
      <c r="AQ75" s="5"/>
      <c r="AR75" s="5"/>
      <c r="AS75" s="5"/>
      <c r="AT75" s="5"/>
      <c r="AU75" s="5"/>
      <c r="AV75" s="5"/>
      <c r="AW75" s="5"/>
      <c r="AX75" s="5"/>
      <c r="AY75" s="5"/>
      <c r="AZ75" s="29"/>
      <c r="BA75" s="29"/>
      <c r="BB75" s="29"/>
      <c r="BC75" s="29"/>
      <c r="BD75" s="5"/>
      <c r="BE75" s="5"/>
      <c r="BF75" s="5"/>
      <c r="BG75" s="5"/>
      <c r="BH75" s="5"/>
      <c r="BI75" s="5"/>
      <c r="BJ75" s="5"/>
      <c r="BK75" s="5"/>
      <c r="BL75" s="5"/>
      <c r="BM75" s="33">
        <f t="shared" si="3"/>
        <v>0</v>
      </c>
      <c r="BN75" s="33" t="s">
        <v>38</v>
      </c>
      <c r="BO75" s="28"/>
      <c r="BP75" s="58"/>
    </row>
    <row r="76" spans="1:68" s="10" customFormat="1" ht="11.25">
      <c r="A76" s="25" t="str">
        <f>"07591"</f>
        <v>07591</v>
      </c>
      <c r="B76" s="58" t="s">
        <v>259</v>
      </c>
      <c r="C76" s="99" t="s">
        <v>74</v>
      </c>
      <c r="D76" s="99" t="str">
        <f>"0,5 MM"</f>
        <v>0,5 MM</v>
      </c>
      <c r="E76" s="5"/>
      <c r="F76" s="5"/>
      <c r="G76" s="5">
        <v>3</v>
      </c>
      <c r="H76" s="28"/>
      <c r="I76" s="5"/>
      <c r="J76" s="5"/>
      <c r="K76" s="5">
        <v>2</v>
      </c>
      <c r="L76" s="5">
        <v>2</v>
      </c>
      <c r="M76" s="5">
        <v>4</v>
      </c>
      <c r="N76" s="5"/>
      <c r="P76" s="5"/>
      <c r="Q76" s="5"/>
      <c r="R76" s="5"/>
      <c r="S76" s="5"/>
      <c r="T76" s="5"/>
      <c r="U76" s="5"/>
      <c r="V76" s="5"/>
      <c r="W76" s="5"/>
      <c r="X76" s="5"/>
      <c r="Y76" s="5">
        <v>2</v>
      </c>
      <c r="Z76" s="5"/>
      <c r="AA76" s="5"/>
      <c r="AB76" s="5">
        <v>1</v>
      </c>
      <c r="AC76" s="5"/>
      <c r="AD76" s="13"/>
      <c r="AE76" s="5"/>
      <c r="AF76" s="5"/>
      <c r="AG76" s="5"/>
      <c r="AH76" s="5"/>
      <c r="AI76" s="5"/>
      <c r="AJ76" s="5"/>
      <c r="AK76" s="5"/>
      <c r="AL76" s="5"/>
      <c r="AM76" s="5"/>
      <c r="AN76" s="28"/>
      <c r="AO76" s="5"/>
      <c r="AP76" s="5"/>
      <c r="AQ76" s="5"/>
      <c r="AR76" s="5">
        <v>2</v>
      </c>
      <c r="AS76" s="5"/>
      <c r="AT76" s="5"/>
      <c r="AU76" s="5"/>
      <c r="AV76" s="5">
        <v>1</v>
      </c>
      <c r="AW76" s="5"/>
      <c r="AX76" s="5">
        <v>1</v>
      </c>
      <c r="AY76" s="5">
        <v>1</v>
      </c>
      <c r="AZ76" s="5"/>
      <c r="BA76" s="5"/>
      <c r="BB76" s="5"/>
      <c r="BC76" s="5"/>
      <c r="BD76" s="5"/>
      <c r="BE76" s="5"/>
      <c r="BF76" s="5"/>
      <c r="BG76" s="5"/>
      <c r="BH76" s="5"/>
      <c r="BI76" s="5">
        <v>2</v>
      </c>
      <c r="BJ76" s="5"/>
      <c r="BK76" s="5"/>
      <c r="BL76" s="5"/>
      <c r="BM76" s="33">
        <f t="shared" si="3"/>
        <v>21</v>
      </c>
      <c r="BN76" s="33" t="s">
        <v>38</v>
      </c>
      <c r="BO76" s="28"/>
      <c r="BP76" s="58"/>
    </row>
    <row r="77" spans="1:68" s="10" customFormat="1" ht="11.25" hidden="1">
      <c r="A77" s="25" t="str">
        <f>"08172"</f>
        <v>08172</v>
      </c>
      <c r="B77" s="58"/>
      <c r="C77" s="99" t="str">
        <f>"ETIKETT CIMKE (DATALINE)"</f>
        <v>ETIKETT CIMKE (DATALINE)</v>
      </c>
      <c r="D77" s="99" t="str">
        <f>"99,1X57 MM"</f>
        <v>99,1X57 MM</v>
      </c>
      <c r="E77" s="5"/>
      <c r="F77" s="5"/>
      <c r="G77" s="5"/>
      <c r="H77" s="28"/>
      <c r="I77" s="5"/>
      <c r="J77" s="5"/>
      <c r="K77" s="5"/>
      <c r="L77" s="5"/>
      <c r="M77" s="5"/>
      <c r="N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13"/>
      <c r="AE77" s="5"/>
      <c r="AF77" s="5"/>
      <c r="AG77" s="5"/>
      <c r="AH77" s="5"/>
      <c r="AI77" s="5"/>
      <c r="AJ77" s="5"/>
      <c r="AK77" s="5"/>
      <c r="AL77" s="5"/>
      <c r="AM77" s="5"/>
      <c r="AN77" s="28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33">
        <f t="shared" si="3"/>
        <v>0</v>
      </c>
      <c r="BN77" s="28"/>
      <c r="BO77" s="28"/>
      <c r="BP77" s="58"/>
    </row>
    <row r="78" spans="1:68" s="10" customFormat="1" ht="11.25" hidden="1">
      <c r="A78" s="25" t="str">
        <f>"07775"</f>
        <v>07775</v>
      </c>
      <c r="B78" s="58"/>
      <c r="C78" s="99" t="str">
        <f>"ETIKETT CIMKE (PÁTRIA)"</f>
        <v>ETIKETT CIMKE (PÁTRIA)</v>
      </c>
      <c r="D78" s="99" t="str">
        <f>"115X086 MM"</f>
        <v>115X086 MM</v>
      </c>
      <c r="E78" s="5"/>
      <c r="F78" s="5"/>
      <c r="G78" s="5"/>
      <c r="H78" s="28"/>
      <c r="I78" s="5"/>
      <c r="J78" s="5"/>
      <c r="K78" s="5"/>
      <c r="L78" s="5"/>
      <c r="M78" s="5"/>
      <c r="N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13"/>
      <c r="AE78" s="5"/>
      <c r="AF78" s="5"/>
      <c r="AG78" s="5"/>
      <c r="AH78" s="5"/>
      <c r="AI78" s="5"/>
      <c r="AJ78" s="5"/>
      <c r="AK78" s="5"/>
      <c r="AL78" s="5"/>
      <c r="AM78" s="5"/>
      <c r="AN78" s="28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33">
        <f t="shared" si="3"/>
        <v>0</v>
      </c>
      <c r="BN78" s="28"/>
      <c r="BO78" s="28"/>
      <c r="BP78" s="58"/>
    </row>
    <row r="79" spans="1:68" s="10" customFormat="1" ht="11.25" hidden="1">
      <c r="A79" s="25" t="str">
        <f>"08084"</f>
        <v>08084</v>
      </c>
      <c r="B79" s="58"/>
      <c r="C79" s="99" t="str">
        <f>"ETIKETT CIMKE (PÁTRIA)"</f>
        <v>ETIKETT CIMKE (PÁTRIA)</v>
      </c>
      <c r="D79" s="99" t="str">
        <f>"63,5X38,1 MM"</f>
        <v>63,5X38,1 MM</v>
      </c>
      <c r="E79" s="5"/>
      <c r="F79" s="5"/>
      <c r="G79" s="5"/>
      <c r="H79" s="28"/>
      <c r="I79" s="5"/>
      <c r="J79" s="5"/>
      <c r="K79" s="5"/>
      <c r="L79" s="5"/>
      <c r="M79" s="5"/>
      <c r="N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13"/>
      <c r="AE79" s="5"/>
      <c r="AF79" s="5"/>
      <c r="AG79" s="5"/>
      <c r="AH79" s="5"/>
      <c r="AI79" s="5"/>
      <c r="AJ79" s="5"/>
      <c r="AK79" s="5"/>
      <c r="AL79" s="5"/>
      <c r="AM79" s="5"/>
      <c r="AN79" s="28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33">
        <f t="shared" si="3"/>
        <v>0</v>
      </c>
      <c r="BN79" s="28"/>
      <c r="BO79" s="28"/>
      <c r="BP79" s="58"/>
    </row>
    <row r="80" spans="1:68" s="10" customFormat="1" ht="11.25">
      <c r="A80" s="25" t="str">
        <f>"08547"</f>
        <v>08547</v>
      </c>
      <c r="B80" s="58" t="s">
        <v>260</v>
      </c>
      <c r="C80" s="99" t="s">
        <v>74</v>
      </c>
      <c r="D80" s="99" t="str">
        <f>"0,7 MM"</f>
        <v>0,7 MM</v>
      </c>
      <c r="E80" s="5"/>
      <c r="F80" s="5"/>
      <c r="G80" s="5"/>
      <c r="H80" s="28"/>
      <c r="I80" s="5"/>
      <c r="J80" s="5"/>
      <c r="K80" s="5"/>
      <c r="L80" s="5"/>
      <c r="M80" s="5"/>
      <c r="N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13"/>
      <c r="AE80" s="5"/>
      <c r="AF80" s="5"/>
      <c r="AG80" s="5"/>
      <c r="AH80" s="5"/>
      <c r="AI80" s="5"/>
      <c r="AJ80" s="5"/>
      <c r="AK80" s="5"/>
      <c r="AL80" s="5"/>
      <c r="AM80" s="5"/>
      <c r="AN80" s="28"/>
      <c r="AO80" s="5"/>
      <c r="AP80" s="5"/>
      <c r="AQ80" s="5"/>
      <c r="AR80" s="5"/>
      <c r="AS80" s="5"/>
      <c r="AT80" s="5"/>
      <c r="AU80" s="5"/>
      <c r="AV80" s="5"/>
      <c r="AW80" s="5"/>
      <c r="AX80" s="5">
        <v>1</v>
      </c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>
        <v>1</v>
      </c>
      <c r="BJ80" s="5"/>
      <c r="BK80" s="5"/>
      <c r="BL80" s="5"/>
      <c r="BM80" s="33">
        <f t="shared" si="3"/>
        <v>2</v>
      </c>
      <c r="BN80" s="33" t="s">
        <v>38</v>
      </c>
      <c r="BO80" s="28"/>
      <c r="BP80" s="58"/>
    </row>
    <row r="81" spans="1:68" s="10" customFormat="1" ht="11.25" hidden="1">
      <c r="A81" s="25" t="str">
        <f>"13073"</f>
        <v>13073</v>
      </c>
      <c r="B81" s="58"/>
      <c r="C81" s="99" t="str">
        <f>"ETIKETT CIMKE (PÁTRIA)"</f>
        <v>ETIKETT CIMKE (PÁTRIA)</v>
      </c>
      <c r="D81" s="99" t="str">
        <f>"89,0X35,0 MM"</f>
        <v>89,0X35,0 MM</v>
      </c>
      <c r="E81" s="5"/>
      <c r="F81" s="5"/>
      <c r="G81" s="5"/>
      <c r="H81" s="28"/>
      <c r="I81" s="5"/>
      <c r="J81" s="5"/>
      <c r="K81" s="5"/>
      <c r="L81" s="5"/>
      <c r="M81" s="5"/>
      <c r="N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13"/>
      <c r="AE81" s="5"/>
      <c r="AF81" s="5"/>
      <c r="AG81" s="5"/>
      <c r="AH81" s="5"/>
      <c r="AI81" s="5"/>
      <c r="AJ81" s="5"/>
      <c r="AK81" s="5"/>
      <c r="AL81" s="5"/>
      <c r="AM81" s="5"/>
      <c r="AN81" s="28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33">
        <f t="shared" si="3"/>
        <v>0</v>
      </c>
      <c r="BN81" s="28"/>
      <c r="BO81" s="28"/>
      <c r="BP81" s="58"/>
    </row>
    <row r="82" spans="1:68" s="10" customFormat="1" ht="11.25" hidden="1">
      <c r="A82" s="25" t="str">
        <f>"07635"</f>
        <v>07635</v>
      </c>
      <c r="B82" s="58"/>
      <c r="C82" s="99" t="str">
        <f>"ETIKETT CIMKE (STENDFORM)"</f>
        <v>ETIKETT CIMKE (STENDFORM)</v>
      </c>
      <c r="D82" s="99" t="str">
        <f>"210X148 MM"</f>
        <v>210X148 MM</v>
      </c>
      <c r="E82" s="5"/>
      <c r="F82" s="5"/>
      <c r="G82" s="5"/>
      <c r="H82" s="28"/>
      <c r="I82" s="5"/>
      <c r="J82" s="5"/>
      <c r="K82" s="5"/>
      <c r="L82" s="5"/>
      <c r="M82" s="5"/>
      <c r="N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13"/>
      <c r="AE82" s="5"/>
      <c r="AF82" s="5"/>
      <c r="AG82" s="5"/>
      <c r="AH82" s="5"/>
      <c r="AI82" s="5"/>
      <c r="AJ82" s="5"/>
      <c r="AK82" s="5"/>
      <c r="AL82" s="5"/>
      <c r="AM82" s="5"/>
      <c r="AN82" s="28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33">
        <f t="shared" si="3"/>
        <v>0</v>
      </c>
      <c r="BN82" s="28"/>
      <c r="BO82" s="28"/>
      <c r="BP82" s="58"/>
    </row>
    <row r="83" spans="1:68" s="10" customFormat="1" ht="11.25" hidden="1">
      <c r="A83" s="25" t="str">
        <f>"10947"</f>
        <v>10947</v>
      </c>
      <c r="B83" s="58"/>
      <c r="C83" s="99" t="str">
        <f>"ETIKETT CIMKE (STENDFORM)"</f>
        <v>ETIKETT CIMKE (STENDFORM)</v>
      </c>
      <c r="D83" s="99" t="str">
        <f>"210X297 MM"</f>
        <v>210X297 MM</v>
      </c>
      <c r="E83" s="5"/>
      <c r="F83" s="5"/>
      <c r="G83" s="5"/>
      <c r="H83" s="28"/>
      <c r="I83" s="5"/>
      <c r="J83" s="5"/>
      <c r="K83" s="5"/>
      <c r="L83" s="5"/>
      <c r="M83" s="5"/>
      <c r="N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13"/>
      <c r="AE83" s="5"/>
      <c r="AF83" s="5"/>
      <c r="AG83" s="5"/>
      <c r="AH83" s="5"/>
      <c r="AI83" s="5"/>
      <c r="AJ83" s="5"/>
      <c r="AK83" s="5"/>
      <c r="AL83" s="5"/>
      <c r="AM83" s="5"/>
      <c r="AN83" s="28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33">
        <f t="shared" si="3"/>
        <v>0</v>
      </c>
      <c r="BN83" s="28"/>
      <c r="BO83" s="28"/>
      <c r="BP83" s="58"/>
    </row>
    <row r="84" spans="1:68" s="10" customFormat="1" ht="11.25" hidden="1">
      <c r="A84" s="25" t="str">
        <f>"07759"</f>
        <v>07759</v>
      </c>
      <c r="B84" s="58"/>
      <c r="C84" s="99" t="str">
        <f>"FAXFILM (FÓLIA)"</f>
        <v>FAXFILM (FÓLIA)</v>
      </c>
      <c r="D84" s="99" t="str">
        <f>"PANASONIC KX-FA 54X"</f>
        <v>PANASONIC KX-FA 54X</v>
      </c>
      <c r="E84" s="5"/>
      <c r="F84" s="5"/>
      <c r="G84" s="5"/>
      <c r="H84" s="28"/>
      <c r="I84" s="5"/>
      <c r="J84" s="5"/>
      <c r="K84" s="5"/>
      <c r="L84" s="5"/>
      <c r="M84" s="5"/>
      <c r="N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13"/>
      <c r="AE84" s="5"/>
      <c r="AF84" s="5"/>
      <c r="AG84" s="5"/>
      <c r="AH84" s="5"/>
      <c r="AI84" s="5"/>
      <c r="AJ84" s="5"/>
      <c r="AK84" s="5"/>
      <c r="AL84" s="5"/>
      <c r="AM84" s="5"/>
      <c r="AN84" s="28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33">
        <f t="shared" si="3"/>
        <v>0</v>
      </c>
      <c r="BN84" s="28"/>
      <c r="BO84" s="28"/>
      <c r="BP84" s="58"/>
    </row>
    <row r="85" spans="1:68" s="10" customFormat="1" ht="22.5">
      <c r="A85" s="25" t="str">
        <f>"08082"</f>
        <v>08082</v>
      </c>
      <c r="B85" s="58" t="s">
        <v>261</v>
      </c>
      <c r="C85" s="99" t="str">
        <f>"DOSSZIÉ (MŰANYAG HÁTLAPOS) FŰZŐS"</f>
        <v>DOSSZIÉ (MŰANYAG HÁTLAPOS) FŰZŐS</v>
      </c>
      <c r="D85" s="99" t="s">
        <v>216</v>
      </c>
      <c r="E85" s="5">
        <v>10</v>
      </c>
      <c r="F85" s="5"/>
      <c r="G85" s="5"/>
      <c r="H85" s="28"/>
      <c r="I85" s="5"/>
      <c r="J85" s="5"/>
      <c r="K85" s="5"/>
      <c r="L85" s="5"/>
      <c r="M85" s="5"/>
      <c r="N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13"/>
      <c r="AE85" s="5"/>
      <c r="AF85" s="5"/>
      <c r="AG85" s="5"/>
      <c r="AH85" s="5"/>
      <c r="AI85" s="5"/>
      <c r="AJ85" s="5"/>
      <c r="AK85" s="5"/>
      <c r="AL85" s="5"/>
      <c r="AM85" s="5"/>
      <c r="AN85" s="28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33">
        <f t="shared" si="3"/>
        <v>10</v>
      </c>
      <c r="BN85" s="33" t="s">
        <v>38</v>
      </c>
      <c r="BO85" s="28"/>
      <c r="BP85" s="58"/>
    </row>
    <row r="86" spans="1:68" s="10" customFormat="1" ht="11.25" hidden="1">
      <c r="A86" s="25" t="str">
        <f>"10273"</f>
        <v>10273</v>
      </c>
      <c r="B86" s="58"/>
      <c r="C86" s="99" t="str">
        <f>"FESTÉFHENGER 1220C."</f>
        <v>FESTÉFHENGER 1220C.</v>
      </c>
      <c r="D86" s="99"/>
      <c r="E86" s="5"/>
      <c r="F86" s="5"/>
      <c r="G86" s="5"/>
      <c r="H86" s="28"/>
      <c r="I86" s="5"/>
      <c r="J86" s="5"/>
      <c r="K86" s="5"/>
      <c r="L86" s="5"/>
      <c r="M86" s="5"/>
      <c r="N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13"/>
      <c r="AE86" s="5"/>
      <c r="AF86" s="5"/>
      <c r="AG86" s="5"/>
      <c r="AH86" s="5"/>
      <c r="AI86" s="5"/>
      <c r="AJ86" s="5"/>
      <c r="AK86" s="5"/>
      <c r="AL86" s="5"/>
      <c r="AM86" s="5"/>
      <c r="AN86" s="28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33">
        <f t="shared" si="3"/>
        <v>0</v>
      </c>
      <c r="BN86" s="28"/>
      <c r="BO86" s="28"/>
      <c r="BP86" s="58"/>
    </row>
    <row r="87" spans="1:68" s="10" customFormat="1" ht="11.25" hidden="1">
      <c r="A87" s="25" t="str">
        <f>"10272"</f>
        <v>10272</v>
      </c>
      <c r="B87" s="58"/>
      <c r="C87" s="99" t="str">
        <f>"FESTÉFHENGER HP 7115"</f>
        <v>FESTÉFHENGER HP 7115</v>
      </c>
      <c r="D87" s="99"/>
      <c r="E87" s="5"/>
      <c r="F87" s="5"/>
      <c r="G87" s="5"/>
      <c r="H87" s="28"/>
      <c r="I87" s="5"/>
      <c r="J87" s="5"/>
      <c r="K87" s="5"/>
      <c r="L87" s="5"/>
      <c r="M87" s="5"/>
      <c r="N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13"/>
      <c r="AE87" s="5"/>
      <c r="AF87" s="5"/>
      <c r="AG87" s="5"/>
      <c r="AH87" s="5"/>
      <c r="AI87" s="5"/>
      <c r="AJ87" s="5"/>
      <c r="AK87" s="5"/>
      <c r="AL87" s="5"/>
      <c r="AM87" s="5"/>
      <c r="AN87" s="28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33">
        <f t="shared" si="3"/>
        <v>0</v>
      </c>
      <c r="BN87" s="28"/>
      <c r="BO87" s="28"/>
      <c r="BP87" s="58"/>
    </row>
    <row r="88" spans="1:68" s="10" customFormat="1" ht="22.5" hidden="1">
      <c r="A88" s="25" t="str">
        <f>"13353"</f>
        <v>13353</v>
      </c>
      <c r="B88" s="58"/>
      <c r="C88" s="99" t="str">
        <f>"FESTÉKHENGER (720MP 212)"</f>
        <v>FESTÉKHENGER (720MP 212)</v>
      </c>
      <c r="D88" s="99" t="str">
        <f>"SHARP ASZTALI SZÁMOLÓGÉPHEZ"</f>
        <v>SHARP ASZTALI SZÁMOLÓGÉPHEZ</v>
      </c>
      <c r="E88" s="5"/>
      <c r="F88" s="5"/>
      <c r="G88" s="5"/>
      <c r="H88" s="28"/>
      <c r="I88" s="5"/>
      <c r="J88" s="5"/>
      <c r="K88" s="5"/>
      <c r="L88" s="5"/>
      <c r="M88" s="5"/>
      <c r="N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13"/>
      <c r="AE88" s="5"/>
      <c r="AF88" s="5"/>
      <c r="AG88" s="5"/>
      <c r="AH88" s="5"/>
      <c r="AI88" s="5"/>
      <c r="AJ88" s="5"/>
      <c r="AK88" s="5"/>
      <c r="AL88" s="5"/>
      <c r="AM88" s="5"/>
      <c r="AN88" s="28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33">
        <f t="shared" si="3"/>
        <v>0</v>
      </c>
      <c r="BN88" s="28"/>
      <c r="BO88" s="28"/>
      <c r="BP88" s="58"/>
    </row>
    <row r="89" spans="1:68" s="10" customFormat="1" ht="11.25" hidden="1">
      <c r="A89" s="25" t="str">
        <f>"10176"</f>
        <v>10176</v>
      </c>
      <c r="B89" s="58"/>
      <c r="C89" s="99" t="str">
        <f>"FESTÉKPATRON (150)"</f>
        <v>FESTÉKPATRON (150)</v>
      </c>
      <c r="D89" s="99"/>
      <c r="E89" s="5"/>
      <c r="F89" s="5"/>
      <c r="G89" s="5"/>
      <c r="H89" s="28"/>
      <c r="I89" s="5"/>
      <c r="J89" s="5"/>
      <c r="K89" s="5"/>
      <c r="L89" s="5"/>
      <c r="M89" s="5"/>
      <c r="N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13"/>
      <c r="AE89" s="5"/>
      <c r="AF89" s="5"/>
      <c r="AG89" s="5"/>
      <c r="AH89" s="5"/>
      <c r="AI89" s="5"/>
      <c r="AJ89" s="5"/>
      <c r="AK89" s="5"/>
      <c r="AL89" s="5"/>
      <c r="AM89" s="5"/>
      <c r="AN89" s="28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33">
        <f t="shared" si="3"/>
        <v>0</v>
      </c>
      <c r="BN89" s="28"/>
      <c r="BO89" s="28"/>
      <c r="BP89" s="58"/>
    </row>
    <row r="90" spans="1:68" s="10" customFormat="1" ht="11.25" hidden="1">
      <c r="A90" s="25" t="str">
        <f>"08014"</f>
        <v>08014</v>
      </c>
      <c r="B90" s="58"/>
      <c r="C90" s="99" t="str">
        <f>"FESTÉKPATRON (CANON BC-02)"</f>
        <v>FESTÉKPATRON (CANON BC-02)</v>
      </c>
      <c r="D90" s="99"/>
      <c r="E90" s="5"/>
      <c r="F90" s="5"/>
      <c r="G90" s="5"/>
      <c r="H90" s="28"/>
      <c r="I90" s="5"/>
      <c r="J90" s="5"/>
      <c r="K90" s="5"/>
      <c r="L90" s="5"/>
      <c r="M90" s="5"/>
      <c r="N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13"/>
      <c r="AE90" s="5"/>
      <c r="AF90" s="5"/>
      <c r="AG90" s="5"/>
      <c r="AH90" s="5"/>
      <c r="AI90" s="5"/>
      <c r="AJ90" s="5"/>
      <c r="AK90" s="5"/>
      <c r="AL90" s="5"/>
      <c r="AM90" s="5"/>
      <c r="AN90" s="28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33">
        <f t="shared" si="3"/>
        <v>0</v>
      </c>
      <c r="BN90" s="28"/>
      <c r="BO90" s="28"/>
      <c r="BP90" s="58"/>
    </row>
    <row r="91" spans="1:68" s="10" customFormat="1" ht="22.5" hidden="1">
      <c r="A91" s="25" t="str">
        <f>"07451"</f>
        <v>07451</v>
      </c>
      <c r="B91" s="58"/>
      <c r="C91" s="99" t="str">
        <f>"FESTÉKPATRON (CANON BC-02) FEKETE"</f>
        <v>FESTÉKPATRON (CANON BC-02) FEKETE</v>
      </c>
      <c r="D91" s="99"/>
      <c r="E91" s="5"/>
      <c r="F91" s="5"/>
      <c r="G91" s="5"/>
      <c r="H91" s="28"/>
      <c r="I91" s="5"/>
      <c r="J91" s="5"/>
      <c r="K91" s="5"/>
      <c r="L91" s="5"/>
      <c r="M91" s="5"/>
      <c r="N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13"/>
      <c r="AE91" s="5"/>
      <c r="AF91" s="5"/>
      <c r="AG91" s="5"/>
      <c r="AH91" s="5"/>
      <c r="AI91" s="5"/>
      <c r="AJ91" s="5"/>
      <c r="AK91" s="5"/>
      <c r="AL91" s="5"/>
      <c r="AM91" s="5"/>
      <c r="AN91" s="28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33">
        <f t="shared" si="3"/>
        <v>0</v>
      </c>
      <c r="BN91" s="28"/>
      <c r="BO91" s="28"/>
      <c r="BP91" s="58"/>
    </row>
    <row r="92" spans="1:68" s="10" customFormat="1" ht="22.5" hidden="1">
      <c r="A92" s="25" t="str">
        <f>"07452"</f>
        <v>07452</v>
      </c>
      <c r="B92" s="58"/>
      <c r="C92" s="99" t="str">
        <f>"FESTÉKPATRON (CANON BC-05) SZÍNES"</f>
        <v>FESTÉKPATRON (CANON BC-05) SZÍNES</v>
      </c>
      <c r="D92" s="99"/>
      <c r="E92" s="5"/>
      <c r="F92" s="5"/>
      <c r="G92" s="5"/>
      <c r="H92" s="28"/>
      <c r="I92" s="5"/>
      <c r="J92" s="5"/>
      <c r="K92" s="5"/>
      <c r="L92" s="5"/>
      <c r="M92" s="5"/>
      <c r="N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13"/>
      <c r="AE92" s="5"/>
      <c r="AF92" s="5"/>
      <c r="AG92" s="5"/>
      <c r="AH92" s="5"/>
      <c r="AI92" s="5"/>
      <c r="AJ92" s="5"/>
      <c r="AK92" s="5"/>
      <c r="AL92" s="5"/>
      <c r="AM92" s="5"/>
      <c r="AN92" s="28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33">
        <f t="shared" si="3"/>
        <v>0</v>
      </c>
      <c r="BN92" s="28"/>
      <c r="BO92" s="28"/>
      <c r="BP92" s="58"/>
    </row>
    <row r="93" spans="1:69" s="10" customFormat="1" ht="11.25" hidden="1">
      <c r="A93" s="25" t="str">
        <f>"09460"</f>
        <v>09460</v>
      </c>
      <c r="B93" s="58"/>
      <c r="C93" s="99" t="str">
        <f>"FESTÉKPATRON (CANON BCI-24)"</f>
        <v>FESTÉKPATRON (CANON BCI-24)</v>
      </c>
      <c r="D93" s="99"/>
      <c r="E93" s="5"/>
      <c r="F93" s="5"/>
      <c r="G93" s="5"/>
      <c r="H93" s="28"/>
      <c r="I93" s="5"/>
      <c r="J93" s="5"/>
      <c r="K93" s="5"/>
      <c r="L93" s="5"/>
      <c r="M93" s="5"/>
      <c r="N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13"/>
      <c r="AE93" s="5"/>
      <c r="AF93" s="5"/>
      <c r="AG93" s="5"/>
      <c r="AH93" s="5"/>
      <c r="AI93" s="5"/>
      <c r="AJ93" s="5"/>
      <c r="AK93" s="5"/>
      <c r="AL93" s="5"/>
      <c r="AM93" s="5"/>
      <c r="AN93" s="28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33">
        <f t="shared" si="3"/>
        <v>0</v>
      </c>
      <c r="BN93" s="28"/>
      <c r="BO93" s="28"/>
      <c r="BP93" s="58"/>
      <c r="BQ93" s="9"/>
    </row>
    <row r="94" spans="1:68" s="9" customFormat="1" ht="11.25" hidden="1">
      <c r="A94" s="25" t="str">
        <f>"13747"</f>
        <v>13747</v>
      </c>
      <c r="B94" s="58"/>
      <c r="C94" s="99" t="str">
        <f>"FOTÓALBUM"</f>
        <v>FOTÓALBUM</v>
      </c>
      <c r="D94" s="99"/>
      <c r="E94" s="6"/>
      <c r="F94" s="6"/>
      <c r="G94" s="6"/>
      <c r="H94" s="28"/>
      <c r="I94" s="6"/>
      <c r="J94" s="6"/>
      <c r="K94" s="6"/>
      <c r="L94" s="6"/>
      <c r="M94" s="6"/>
      <c r="N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14"/>
      <c r="AE94" s="6"/>
      <c r="AF94" s="6"/>
      <c r="AG94" s="6"/>
      <c r="AH94" s="6"/>
      <c r="AI94" s="6"/>
      <c r="AJ94" s="6"/>
      <c r="AK94" s="6"/>
      <c r="AL94" s="6"/>
      <c r="AM94" s="6"/>
      <c r="AN94" s="28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33">
        <f t="shared" si="3"/>
        <v>0</v>
      </c>
      <c r="BN94" s="33"/>
      <c r="BO94" s="33"/>
      <c r="BP94" s="55"/>
    </row>
    <row r="95" spans="1:68" s="9" customFormat="1" ht="22.5" hidden="1">
      <c r="A95" s="25" t="str">
        <f>"11009"</f>
        <v>11009</v>
      </c>
      <c r="B95" s="58"/>
      <c r="C95" s="99" t="str">
        <f>"FOTÓPAPÍR (EPSON PHOTO QUALITY)"</f>
        <v>FOTÓPAPÍR (EPSON PHOTO QUALITY)</v>
      </c>
      <c r="D95" s="99" t="str">
        <f>"A/4 (102GR/M2) 100DB-OS"</f>
        <v>A/4 (102GR/M2) 100DB-OS</v>
      </c>
      <c r="E95" s="6"/>
      <c r="F95" s="6"/>
      <c r="G95" s="6"/>
      <c r="H95" s="28"/>
      <c r="I95" s="6"/>
      <c r="J95" s="6"/>
      <c r="K95" s="6"/>
      <c r="L95" s="6"/>
      <c r="M95" s="6"/>
      <c r="N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14"/>
      <c r="AE95" s="6"/>
      <c r="AF95" s="6"/>
      <c r="AG95" s="6"/>
      <c r="AH95" s="6"/>
      <c r="AI95" s="6"/>
      <c r="AJ95" s="6"/>
      <c r="AK95" s="6"/>
      <c r="AL95" s="6"/>
      <c r="AM95" s="6"/>
      <c r="AN95" s="28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33">
        <f t="shared" si="3"/>
        <v>0</v>
      </c>
      <c r="BN95" s="33"/>
      <c r="BO95" s="33"/>
      <c r="BP95" s="55"/>
    </row>
    <row r="96" spans="1:68" s="9" customFormat="1" ht="11.25" hidden="1">
      <c r="A96" s="25" t="str">
        <f>"09192"</f>
        <v>09192</v>
      </c>
      <c r="B96" s="58"/>
      <c r="C96" s="99" t="str">
        <f>"FOTÓPAPÍR (HP)"</f>
        <v>FOTÓPAPÍR (HP)</v>
      </c>
      <c r="D96" s="99" t="str">
        <f>"A/4"</f>
        <v>A/4</v>
      </c>
      <c r="E96" s="6"/>
      <c r="F96" s="6"/>
      <c r="G96" s="6"/>
      <c r="H96" s="28"/>
      <c r="I96" s="6"/>
      <c r="J96" s="6"/>
      <c r="K96" s="6"/>
      <c r="L96" s="6"/>
      <c r="M96" s="6"/>
      <c r="N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14"/>
      <c r="AE96" s="6"/>
      <c r="AF96" s="6"/>
      <c r="AG96" s="6"/>
      <c r="AH96" s="6"/>
      <c r="AI96" s="6"/>
      <c r="AJ96" s="6"/>
      <c r="AK96" s="6"/>
      <c r="AL96" s="6"/>
      <c r="AM96" s="6"/>
      <c r="AN96" s="28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33">
        <f t="shared" si="3"/>
        <v>0</v>
      </c>
      <c r="BN96" s="33"/>
      <c r="BO96" s="33"/>
      <c r="BP96" s="55"/>
    </row>
    <row r="97" spans="1:68" s="9" customFormat="1" ht="11.25" hidden="1">
      <c r="A97" s="25" t="str">
        <f>"09470"</f>
        <v>09470</v>
      </c>
      <c r="B97" s="58"/>
      <c r="C97" s="99" t="str">
        <f>"FOTÓPAPÍR (HP)"</f>
        <v>FOTÓPAPÍR (HP)</v>
      </c>
      <c r="D97" s="99" t="str">
        <f>"A/4"</f>
        <v>A/4</v>
      </c>
      <c r="E97" s="6"/>
      <c r="F97" s="6"/>
      <c r="G97" s="6"/>
      <c r="H97" s="28"/>
      <c r="I97" s="6"/>
      <c r="J97" s="6"/>
      <c r="K97" s="6"/>
      <c r="L97" s="6"/>
      <c r="M97" s="6"/>
      <c r="N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14"/>
      <c r="AE97" s="6"/>
      <c r="AF97" s="6"/>
      <c r="AG97" s="6"/>
      <c r="AH97" s="6"/>
      <c r="AI97" s="6"/>
      <c r="AJ97" s="6"/>
      <c r="AK97" s="6"/>
      <c r="AL97" s="6"/>
      <c r="AM97" s="6"/>
      <c r="AN97" s="28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33">
        <f t="shared" si="3"/>
        <v>0</v>
      </c>
      <c r="BN97" s="33"/>
      <c r="BO97" s="33"/>
      <c r="BP97" s="55"/>
    </row>
    <row r="98" spans="1:68" s="9" customFormat="1" ht="11.25" hidden="1">
      <c r="A98" s="25" t="str">
        <f>"08546"</f>
        <v>08546</v>
      </c>
      <c r="B98" s="58"/>
      <c r="C98" s="99" t="str">
        <f>"FRANCIAKOCKÁS LAP"</f>
        <v>FRANCIAKOCKÁS LAP</v>
      </c>
      <c r="D98" s="99" t="str">
        <f>"A/3"</f>
        <v>A/3</v>
      </c>
      <c r="E98" s="6"/>
      <c r="F98" s="6"/>
      <c r="G98" s="6"/>
      <c r="H98" s="28"/>
      <c r="I98" s="6"/>
      <c r="J98" s="6"/>
      <c r="K98" s="6"/>
      <c r="L98" s="6"/>
      <c r="M98" s="6"/>
      <c r="N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14"/>
      <c r="AE98" s="6"/>
      <c r="AF98" s="6"/>
      <c r="AG98" s="6"/>
      <c r="AH98" s="6"/>
      <c r="AI98" s="6"/>
      <c r="AJ98" s="6"/>
      <c r="AK98" s="6"/>
      <c r="AL98" s="6"/>
      <c r="AM98" s="6"/>
      <c r="AN98" s="28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33">
        <f t="shared" si="3"/>
        <v>0</v>
      </c>
      <c r="BN98" s="33"/>
      <c r="BO98" s="33"/>
      <c r="BP98" s="55"/>
    </row>
    <row r="99" spans="1:69" s="9" customFormat="1" ht="22.5" hidden="1">
      <c r="A99" s="25" t="str">
        <f>"07604"</f>
        <v>07604</v>
      </c>
      <c r="B99" s="58"/>
      <c r="C99" s="99" t="str">
        <f>"FRANCIAKOCKÁS LAP (RASZTER RÁCSOS)"</f>
        <v>FRANCIAKOCKÁS LAP (RASZTER RÁCSOS)</v>
      </c>
      <c r="D99" s="99" t="str">
        <f>"A/4"</f>
        <v>A/4</v>
      </c>
      <c r="E99" s="6"/>
      <c r="F99" s="6"/>
      <c r="G99" s="6"/>
      <c r="H99" s="28"/>
      <c r="I99" s="6"/>
      <c r="J99" s="6"/>
      <c r="K99" s="6"/>
      <c r="L99" s="6"/>
      <c r="M99" s="6"/>
      <c r="N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14"/>
      <c r="AE99" s="6"/>
      <c r="AF99" s="6"/>
      <c r="AG99" s="6"/>
      <c r="AH99" s="6"/>
      <c r="AI99" s="6"/>
      <c r="AJ99" s="6"/>
      <c r="AK99" s="6"/>
      <c r="AL99" s="6"/>
      <c r="AM99" s="6"/>
      <c r="AN99" s="28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33">
        <f t="shared" si="3"/>
        <v>0</v>
      </c>
      <c r="BN99" s="33"/>
      <c r="BO99" s="33"/>
      <c r="BP99" s="55"/>
      <c r="BQ99" s="10"/>
    </row>
    <row r="100" spans="1:68" s="9" customFormat="1" ht="22.5">
      <c r="A100" s="25" t="str">
        <f>"08082"</f>
        <v>08082</v>
      </c>
      <c r="B100" s="58" t="s">
        <v>262</v>
      </c>
      <c r="C100" s="99" t="str">
        <f>"DOSSZIÉ (MŰANYAG HÁTLAPOS) FŰZŐS"</f>
        <v>DOSSZIÉ (MŰANYAG HÁTLAPOS) FŰZŐS</v>
      </c>
      <c r="D100" s="99" t="s">
        <v>100</v>
      </c>
      <c r="E100" s="6"/>
      <c r="F100" s="6">
        <v>10</v>
      </c>
      <c r="G100" s="6"/>
      <c r="H100" s="28"/>
      <c r="I100" s="6"/>
      <c r="J100" s="6">
        <v>20</v>
      </c>
      <c r="K100" s="6"/>
      <c r="L100" s="6"/>
      <c r="M100" s="6"/>
      <c r="N100" s="6"/>
      <c r="P100" s="6"/>
      <c r="Q100" s="6"/>
      <c r="R100" s="6"/>
      <c r="S100" s="6">
        <v>25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14"/>
      <c r="AE100" s="6"/>
      <c r="AF100" s="6"/>
      <c r="AG100" s="6"/>
      <c r="AH100" s="6"/>
      <c r="AI100" s="6"/>
      <c r="AJ100" s="6"/>
      <c r="AK100" s="6"/>
      <c r="AL100" s="6"/>
      <c r="AM100" s="6"/>
      <c r="AN100" s="28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>
        <v>50</v>
      </c>
      <c r="BA100" s="6"/>
      <c r="BB100" s="6"/>
      <c r="BC100" s="6"/>
      <c r="BD100" s="6"/>
      <c r="BE100" s="6"/>
      <c r="BF100" s="6"/>
      <c r="BG100" s="6"/>
      <c r="BH100" s="6"/>
      <c r="BI100" s="6">
        <v>5</v>
      </c>
      <c r="BJ100" s="6"/>
      <c r="BK100" s="6"/>
      <c r="BL100" s="6"/>
      <c r="BM100" s="33">
        <f t="shared" si="3"/>
        <v>110</v>
      </c>
      <c r="BN100" s="33" t="s">
        <v>38</v>
      </c>
      <c r="BO100" s="33"/>
      <c r="BP100" s="55"/>
    </row>
    <row r="101" spans="1:68" s="9" customFormat="1" ht="11.25" hidden="1">
      <c r="A101" s="25" t="str">
        <f>"10949"</f>
        <v>10949</v>
      </c>
      <c r="B101" s="58"/>
      <c r="C101" s="99" t="str">
        <f>"FÜZET (BEÍRÓ)"</f>
        <v>FÜZET (BEÍRÓ)</v>
      </c>
      <c r="D101" s="99" t="str">
        <f>"A/4"</f>
        <v>A/4</v>
      </c>
      <c r="E101" s="6"/>
      <c r="F101" s="6"/>
      <c r="G101" s="6"/>
      <c r="H101" s="28"/>
      <c r="I101" s="6"/>
      <c r="J101" s="6"/>
      <c r="K101" s="6"/>
      <c r="L101" s="6"/>
      <c r="M101" s="6"/>
      <c r="N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14"/>
      <c r="AE101" s="6"/>
      <c r="AF101" s="6"/>
      <c r="AG101" s="6"/>
      <c r="AH101" s="6"/>
      <c r="AI101" s="6"/>
      <c r="AJ101" s="6"/>
      <c r="AK101" s="6"/>
      <c r="AL101" s="6"/>
      <c r="AM101" s="6"/>
      <c r="AN101" s="28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33">
        <f t="shared" si="3"/>
        <v>0</v>
      </c>
      <c r="BN101" s="33"/>
      <c r="BO101" s="33"/>
      <c r="BP101" s="55"/>
    </row>
    <row r="102" spans="1:68" s="10" customFormat="1" ht="22.5">
      <c r="A102" s="25" t="str">
        <f>"08082"</f>
        <v>08082</v>
      </c>
      <c r="B102" s="58" t="s">
        <v>263</v>
      </c>
      <c r="C102" s="99" t="str">
        <f>"DOSSZIÉ (MŰANYAG HÁTLAPOS) FŰZŐS"</f>
        <v>DOSSZIÉ (MŰANYAG HÁTLAPOS) FŰZŐS</v>
      </c>
      <c r="D102" s="99" t="s">
        <v>215</v>
      </c>
      <c r="E102" s="5"/>
      <c r="F102" s="5"/>
      <c r="G102" s="5">
        <v>5</v>
      </c>
      <c r="H102" s="28"/>
      <c r="I102" s="5"/>
      <c r="J102" s="5"/>
      <c r="K102" s="5"/>
      <c r="L102" s="5"/>
      <c r="M102" s="5"/>
      <c r="N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>
        <v>5</v>
      </c>
      <c r="AC102" s="5"/>
      <c r="AD102" s="13"/>
      <c r="AE102" s="5"/>
      <c r="AF102" s="5"/>
      <c r="AG102" s="5"/>
      <c r="AH102" s="5"/>
      <c r="AI102" s="5"/>
      <c r="AJ102" s="5"/>
      <c r="AK102" s="5"/>
      <c r="AL102" s="5"/>
      <c r="AM102" s="5"/>
      <c r="AN102" s="28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33">
        <f aca="true" t="shared" si="5" ref="BM102:BM143">SUM(E102:BL102)</f>
        <v>10</v>
      </c>
      <c r="BN102" s="33" t="s">
        <v>38</v>
      </c>
      <c r="BO102" s="28"/>
      <c r="BP102" s="58"/>
    </row>
    <row r="103" spans="1:68" s="9" customFormat="1" ht="11.25">
      <c r="A103" s="25" t="str">
        <f>"07527"</f>
        <v>07527</v>
      </c>
      <c r="B103" s="58" t="s">
        <v>264</v>
      </c>
      <c r="C103" s="99" t="str">
        <f>"DOSSZIÉ (PAPÍR) FŰZŐS"</f>
        <v>DOSSZIÉ (PAPÍR) FŰZŐS</v>
      </c>
      <c r="D103" s="99" t="str">
        <f>"A/4"</f>
        <v>A/4</v>
      </c>
      <c r="E103" s="6">
        <v>10</v>
      </c>
      <c r="F103" s="6">
        <v>20</v>
      </c>
      <c r="G103" s="6"/>
      <c r="H103" s="28">
        <v>40</v>
      </c>
      <c r="I103" s="6"/>
      <c r="J103" s="6"/>
      <c r="K103" s="6"/>
      <c r="L103" s="6"/>
      <c r="M103" s="6"/>
      <c r="N103" s="6"/>
      <c r="P103" s="6"/>
      <c r="Q103" s="6"/>
      <c r="R103" s="6"/>
      <c r="S103" s="6"/>
      <c r="T103" s="6"/>
      <c r="U103" s="6"/>
      <c r="V103" s="6"/>
      <c r="W103" s="6"/>
      <c r="X103" s="6">
        <v>10</v>
      </c>
      <c r="Y103" s="6"/>
      <c r="Z103" s="6"/>
      <c r="AA103" s="6"/>
      <c r="AB103" s="6"/>
      <c r="AC103" s="6"/>
      <c r="AD103" s="14"/>
      <c r="AE103" s="6"/>
      <c r="AF103" s="6"/>
      <c r="AG103" s="6"/>
      <c r="AH103" s="6"/>
      <c r="AI103" s="6"/>
      <c r="AJ103" s="6"/>
      <c r="AK103" s="6"/>
      <c r="AL103" s="6"/>
      <c r="AM103" s="6"/>
      <c r="AN103" s="28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33">
        <f t="shared" si="5"/>
        <v>80</v>
      </c>
      <c r="BN103" s="33" t="s">
        <v>38</v>
      </c>
      <c r="BO103" s="33"/>
      <c r="BP103" s="55"/>
    </row>
    <row r="104" spans="1:68" s="9" customFormat="1" ht="22.5">
      <c r="A104" s="25" t="str">
        <f>"07483"</f>
        <v>07483</v>
      </c>
      <c r="B104" s="58" t="s">
        <v>265</v>
      </c>
      <c r="C104" s="99" t="str">
        <f>"DOSSZIÉ (PAPÍR) PÓLYÁS-HAJTOGATÓS"</f>
        <v>DOSSZIÉ (PAPÍR) PÓLYÁS-HAJTOGATÓS</v>
      </c>
      <c r="D104" s="99" t="str">
        <f>"A/4"</f>
        <v>A/4</v>
      </c>
      <c r="E104" s="6">
        <v>15</v>
      </c>
      <c r="F104" s="6">
        <v>20</v>
      </c>
      <c r="G104" s="6"/>
      <c r="H104" s="28">
        <v>15</v>
      </c>
      <c r="I104" s="6"/>
      <c r="J104" s="6"/>
      <c r="K104" s="6"/>
      <c r="L104" s="6"/>
      <c r="M104" s="6"/>
      <c r="N104" s="6"/>
      <c r="P104" s="6"/>
      <c r="Q104" s="6"/>
      <c r="R104" s="6"/>
      <c r="S104" s="6"/>
      <c r="T104" s="6"/>
      <c r="U104" s="6"/>
      <c r="V104" s="6"/>
      <c r="W104" s="6"/>
      <c r="X104" s="6">
        <v>10</v>
      </c>
      <c r="Y104" s="6"/>
      <c r="Z104" s="6"/>
      <c r="AA104" s="6"/>
      <c r="AB104" s="6"/>
      <c r="AC104" s="6"/>
      <c r="AD104" s="14"/>
      <c r="AE104" s="6"/>
      <c r="AF104" s="6"/>
      <c r="AG104" s="6"/>
      <c r="AH104" s="6"/>
      <c r="AI104" s="6"/>
      <c r="AJ104" s="6"/>
      <c r="AK104" s="6"/>
      <c r="AL104" s="6"/>
      <c r="AM104" s="6"/>
      <c r="AN104" s="28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>
        <v>15</v>
      </c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33">
        <f t="shared" si="5"/>
        <v>75</v>
      </c>
      <c r="BN104" s="33" t="s">
        <v>38</v>
      </c>
      <c r="BO104" s="33"/>
      <c r="BP104" s="55"/>
    </row>
    <row r="105" spans="1:68" s="9" customFormat="1" ht="22.5">
      <c r="A105" s="25" t="str">
        <f>"09430"</f>
        <v>09430</v>
      </c>
      <c r="B105" s="58" t="s">
        <v>266</v>
      </c>
      <c r="C105" s="100" t="s">
        <v>174</v>
      </c>
      <c r="D105" s="100" t="s">
        <v>176</v>
      </c>
      <c r="E105" s="6"/>
      <c r="F105" s="6"/>
      <c r="G105" s="6"/>
      <c r="I105" s="6"/>
      <c r="J105" s="6"/>
      <c r="K105" s="6"/>
      <c r="L105" s="6"/>
      <c r="M105" s="6"/>
      <c r="N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14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>
        <v>10</v>
      </c>
      <c r="BK105" s="6"/>
      <c r="BL105" s="6"/>
      <c r="BM105" s="33">
        <f t="shared" si="5"/>
        <v>10</v>
      </c>
      <c r="BN105" s="33" t="s">
        <v>38</v>
      </c>
      <c r="BO105" s="33"/>
      <c r="BP105" s="55"/>
    </row>
    <row r="106" spans="1:68" s="9" customFormat="1" ht="11.25">
      <c r="A106" s="25" t="str">
        <f>"07443"</f>
        <v>07443</v>
      </c>
      <c r="B106" s="58" t="s">
        <v>267</v>
      </c>
      <c r="C106" s="100" t="s">
        <v>221</v>
      </c>
      <c r="D106" s="100" t="s">
        <v>222</v>
      </c>
      <c r="E106" s="6"/>
      <c r="F106" s="6"/>
      <c r="G106" s="6">
        <v>3</v>
      </c>
      <c r="H106" s="6"/>
      <c r="I106" s="6"/>
      <c r="J106" s="6"/>
      <c r="K106" s="6"/>
      <c r="L106" s="6"/>
      <c r="M106" s="6"/>
      <c r="N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14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33">
        <f t="shared" si="5"/>
        <v>3</v>
      </c>
      <c r="BN106" s="28" t="s">
        <v>38</v>
      </c>
      <c r="BO106" s="33"/>
      <c r="BP106" s="55"/>
    </row>
    <row r="107" spans="1:68" s="10" customFormat="1" ht="22.5">
      <c r="A107" s="25" t="str">
        <f>"07535"</f>
        <v>07535</v>
      </c>
      <c r="B107" s="58" t="s">
        <v>268</v>
      </c>
      <c r="C107" s="99" t="s">
        <v>57</v>
      </c>
      <c r="D107" s="99" t="str">
        <f>"105X037 MM"</f>
        <v>105X037 MM</v>
      </c>
      <c r="E107" s="5">
        <v>10</v>
      </c>
      <c r="F107" s="5">
        <v>20</v>
      </c>
      <c r="G107" s="5"/>
      <c r="H107" s="28"/>
      <c r="I107" s="5"/>
      <c r="J107" s="5"/>
      <c r="K107" s="5">
        <v>20</v>
      </c>
      <c r="L107" s="5">
        <v>20</v>
      </c>
      <c r="M107" s="5"/>
      <c r="N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13"/>
      <c r="AE107" s="5"/>
      <c r="AF107" s="5"/>
      <c r="AG107" s="5"/>
      <c r="AH107" s="5"/>
      <c r="AI107" s="5"/>
      <c r="AJ107" s="5"/>
      <c r="AK107" s="5"/>
      <c r="AL107" s="5"/>
      <c r="AM107" s="5"/>
      <c r="AN107" s="28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>
        <v>2</v>
      </c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33">
        <f t="shared" si="5"/>
        <v>72</v>
      </c>
      <c r="BN107" s="28" t="s">
        <v>58</v>
      </c>
      <c r="BO107" s="28"/>
      <c r="BP107" s="58"/>
    </row>
    <row r="108" spans="1:68" s="10" customFormat="1" ht="11.25">
      <c r="A108" s="25" t="str">
        <f>"11734"</f>
        <v>11734</v>
      </c>
      <c r="B108" s="58" t="s">
        <v>269</v>
      </c>
      <c r="C108" s="99" t="s">
        <v>142</v>
      </c>
      <c r="D108" s="99" t="str">
        <f>"68,0X35,0 MM"</f>
        <v>68,0X35,0 MM</v>
      </c>
      <c r="E108" s="5"/>
      <c r="F108" s="5">
        <v>10</v>
      </c>
      <c r="G108" s="5"/>
      <c r="H108" s="28"/>
      <c r="I108" s="5"/>
      <c r="J108" s="5"/>
      <c r="K108" s="5"/>
      <c r="L108" s="5"/>
      <c r="M108" s="5"/>
      <c r="N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13"/>
      <c r="AE108" s="5"/>
      <c r="AF108" s="5"/>
      <c r="AG108" s="5"/>
      <c r="AH108" s="5"/>
      <c r="AI108" s="5"/>
      <c r="AJ108" s="5"/>
      <c r="AK108" s="5"/>
      <c r="AL108" s="5"/>
      <c r="AM108" s="5"/>
      <c r="AN108" s="28"/>
      <c r="AO108" s="5"/>
      <c r="AP108" s="5"/>
      <c r="AQ108" s="5"/>
      <c r="AR108" s="5"/>
      <c r="AS108" s="5"/>
      <c r="AT108" s="5"/>
      <c r="AU108" s="5"/>
      <c r="AV108" s="5"/>
      <c r="AW108" s="5"/>
      <c r="AX108" s="5">
        <v>5</v>
      </c>
      <c r="AY108" s="5">
        <v>5</v>
      </c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33">
        <f t="shared" si="5"/>
        <v>20</v>
      </c>
      <c r="BN108" s="28" t="s">
        <v>58</v>
      </c>
      <c r="BO108" s="28"/>
      <c r="BP108" s="58"/>
    </row>
    <row r="109" spans="1:68" s="9" customFormat="1" ht="11.25" hidden="1">
      <c r="A109" s="25" t="str">
        <f>"09026"</f>
        <v>09026</v>
      </c>
      <c r="B109" s="58"/>
      <c r="C109" s="99" t="str">
        <f>"GÉMKAPOCS TARTÓ"</f>
        <v>GÉMKAPOCS TARTÓ</v>
      </c>
      <c r="D109" s="99" t="str">
        <f>"MÁGNESES"</f>
        <v>MÁGNESES</v>
      </c>
      <c r="E109" s="6"/>
      <c r="F109" s="6"/>
      <c r="G109" s="6"/>
      <c r="H109" s="28"/>
      <c r="I109" s="6"/>
      <c r="J109" s="6"/>
      <c r="K109" s="6"/>
      <c r="L109" s="6"/>
      <c r="M109" s="6"/>
      <c r="N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14"/>
      <c r="AE109" s="6"/>
      <c r="AF109" s="6"/>
      <c r="AG109" s="6"/>
      <c r="AH109" s="6"/>
      <c r="AI109" s="6"/>
      <c r="AJ109" s="6"/>
      <c r="AK109" s="6"/>
      <c r="AL109" s="6"/>
      <c r="AM109" s="6"/>
      <c r="AN109" s="28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33">
        <f t="shared" si="5"/>
        <v>0</v>
      </c>
      <c r="BN109" s="33"/>
      <c r="BO109" s="33"/>
      <c r="BP109" s="55"/>
    </row>
    <row r="110" spans="1:68" s="9" customFormat="1" ht="11.25" hidden="1">
      <c r="A110" s="25" t="str">
        <f>"07766"</f>
        <v>07766</v>
      </c>
      <c r="B110" s="58"/>
      <c r="C110" s="99" t="str">
        <f>"GENOTHERMA (FÜLES)"</f>
        <v>GENOTHERMA (FÜLES)</v>
      </c>
      <c r="D110" s="99" t="str">
        <f>"A/4"</f>
        <v>A/4</v>
      </c>
      <c r="E110" s="6"/>
      <c r="F110" s="6"/>
      <c r="G110" s="6"/>
      <c r="H110" s="28"/>
      <c r="I110" s="6"/>
      <c r="J110" s="6"/>
      <c r="K110" s="6"/>
      <c r="L110" s="6"/>
      <c r="M110" s="6"/>
      <c r="N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14"/>
      <c r="AE110" s="6"/>
      <c r="AF110" s="6"/>
      <c r="AG110" s="6"/>
      <c r="AH110" s="6"/>
      <c r="AI110" s="6"/>
      <c r="AJ110" s="6"/>
      <c r="AK110" s="6"/>
      <c r="AL110" s="6"/>
      <c r="AM110" s="6"/>
      <c r="AN110" s="28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33">
        <f t="shared" si="5"/>
        <v>0</v>
      </c>
      <c r="BN110" s="33"/>
      <c r="BO110" s="33"/>
      <c r="BP110" s="55"/>
    </row>
    <row r="111" spans="1:68" s="9" customFormat="1" ht="22.5">
      <c r="A111" s="25" t="str">
        <f>"10269"</f>
        <v>10269</v>
      </c>
      <c r="B111" s="58" t="s">
        <v>270</v>
      </c>
      <c r="C111" s="99" t="s">
        <v>40</v>
      </c>
      <c r="D111" s="99" t="str">
        <f>"A/3 (80 GRAMM)"</f>
        <v>A/3 (80 GRAMM)</v>
      </c>
      <c r="E111" s="6">
        <v>2</v>
      </c>
      <c r="F111" s="6"/>
      <c r="G111" s="6"/>
      <c r="H111" s="28"/>
      <c r="I111" s="6"/>
      <c r="J111" s="6"/>
      <c r="K111" s="6"/>
      <c r="L111" s="6"/>
      <c r="M111" s="6"/>
      <c r="N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14"/>
      <c r="AE111" s="6"/>
      <c r="AF111" s="6"/>
      <c r="AG111" s="6"/>
      <c r="AH111" s="6"/>
      <c r="AI111" s="6"/>
      <c r="AJ111" s="6"/>
      <c r="AK111" s="6"/>
      <c r="AL111" s="6"/>
      <c r="AM111" s="6"/>
      <c r="AN111" s="28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33">
        <f t="shared" si="5"/>
        <v>2</v>
      </c>
      <c r="BN111" s="33" t="s">
        <v>39</v>
      </c>
      <c r="BO111" s="33"/>
      <c r="BP111" s="55"/>
    </row>
    <row r="112" spans="1:68" s="10" customFormat="1" ht="11.25" hidden="1">
      <c r="A112" s="25" t="str">
        <f>"09943"</f>
        <v>09943</v>
      </c>
      <c r="B112" s="58"/>
      <c r="C112" s="99" t="str">
        <f>"GOLYÓSTOLL (PENTEL BK-408 B)"</f>
        <v>GOLYÓSTOLL (PENTEL BK-408 B)</v>
      </c>
      <c r="D112" s="99"/>
      <c r="E112" s="5"/>
      <c r="F112" s="5"/>
      <c r="G112" s="5"/>
      <c r="H112" s="28"/>
      <c r="I112" s="5"/>
      <c r="J112" s="5"/>
      <c r="K112" s="5"/>
      <c r="L112" s="5"/>
      <c r="M112" s="5"/>
      <c r="N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13"/>
      <c r="AE112" s="5"/>
      <c r="AF112" s="5"/>
      <c r="AG112" s="5"/>
      <c r="AH112" s="5"/>
      <c r="AI112" s="5"/>
      <c r="AJ112" s="5"/>
      <c r="AK112" s="5"/>
      <c r="AL112" s="5"/>
      <c r="AM112" s="5"/>
      <c r="AN112" s="28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33">
        <f t="shared" si="5"/>
        <v>0</v>
      </c>
      <c r="BN112" s="33"/>
      <c r="BO112" s="28"/>
      <c r="BP112" s="58"/>
    </row>
    <row r="113" spans="1:69" s="9" customFormat="1" ht="22.5">
      <c r="A113" s="25" t="str">
        <f>"07467"</f>
        <v>07467</v>
      </c>
      <c r="B113" s="58" t="s">
        <v>271</v>
      </c>
      <c r="C113" s="99" t="s">
        <v>40</v>
      </c>
      <c r="D113" s="99" t="str">
        <f>"A/4 (80 GRAMM)"</f>
        <v>A/4 (80 GRAMM)</v>
      </c>
      <c r="E113" s="6">
        <v>5</v>
      </c>
      <c r="F113" s="6"/>
      <c r="G113" s="6">
        <v>10</v>
      </c>
      <c r="H113" s="28">
        <v>5</v>
      </c>
      <c r="I113" s="6">
        <v>2</v>
      </c>
      <c r="J113" s="6">
        <v>10</v>
      </c>
      <c r="K113" s="6">
        <v>10</v>
      </c>
      <c r="L113" s="6">
        <v>10</v>
      </c>
      <c r="M113" s="6"/>
      <c r="N113" s="6"/>
      <c r="P113" s="6"/>
      <c r="Q113" s="6"/>
      <c r="R113" s="6"/>
      <c r="S113" s="6"/>
      <c r="T113" s="6"/>
      <c r="U113" s="6">
        <v>1</v>
      </c>
      <c r="V113" s="6"/>
      <c r="W113" s="6"/>
      <c r="X113" s="6"/>
      <c r="Y113" s="6"/>
      <c r="Z113" s="6"/>
      <c r="AA113" s="6"/>
      <c r="AB113" s="6">
        <v>2</v>
      </c>
      <c r="AC113" s="6"/>
      <c r="AD113" s="14"/>
      <c r="AE113" s="6"/>
      <c r="AF113" s="6"/>
      <c r="AG113" s="6"/>
      <c r="AH113" s="6"/>
      <c r="AI113" s="6"/>
      <c r="AJ113" s="6"/>
      <c r="AK113" s="6"/>
      <c r="AL113" s="6"/>
      <c r="AM113" s="6"/>
      <c r="AN113" s="28"/>
      <c r="AO113" s="6"/>
      <c r="AP113" s="6"/>
      <c r="AQ113" s="6"/>
      <c r="AR113" s="6"/>
      <c r="AS113" s="6"/>
      <c r="AT113" s="6"/>
      <c r="AU113" s="6"/>
      <c r="AV113" s="6"/>
      <c r="AW113" s="6"/>
      <c r="AX113" s="6">
        <v>10</v>
      </c>
      <c r="AY113" s="6">
        <v>15</v>
      </c>
      <c r="AZ113" s="6"/>
      <c r="BA113" s="6">
        <v>5</v>
      </c>
      <c r="BB113" s="6"/>
      <c r="BC113" s="6"/>
      <c r="BD113" s="6"/>
      <c r="BE113" s="6"/>
      <c r="BF113" s="6"/>
      <c r="BG113" s="6"/>
      <c r="BH113" s="6"/>
      <c r="BI113" s="6">
        <v>15</v>
      </c>
      <c r="BJ113" s="6"/>
      <c r="BK113" s="6">
        <v>10</v>
      </c>
      <c r="BL113" s="6">
        <v>25</v>
      </c>
      <c r="BM113" s="33">
        <f t="shared" si="5"/>
        <v>135</v>
      </c>
      <c r="BN113" s="33" t="s">
        <v>39</v>
      </c>
      <c r="BO113" s="33"/>
      <c r="BP113" s="55"/>
      <c r="BQ113" s="10"/>
    </row>
    <row r="114" spans="1:68" s="10" customFormat="1" ht="11.25" hidden="1">
      <c r="A114" s="25" t="str">
        <f>"13872"</f>
        <v>13872</v>
      </c>
      <c r="B114" s="58"/>
      <c r="C114" s="99" t="str">
        <f>"GOLYÓSTOLL (ÜGYFELES)"</f>
        <v>GOLYÓSTOLL (ÜGYFELES)</v>
      </c>
      <c r="D114" s="99"/>
      <c r="E114" s="5"/>
      <c r="F114" s="5"/>
      <c r="G114" s="5"/>
      <c r="H114" s="28"/>
      <c r="I114" s="5"/>
      <c r="J114" s="5"/>
      <c r="K114" s="5"/>
      <c r="L114" s="5"/>
      <c r="M114" s="5"/>
      <c r="N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13"/>
      <c r="AE114" s="5"/>
      <c r="AF114" s="5"/>
      <c r="AG114" s="5"/>
      <c r="AH114" s="5"/>
      <c r="AI114" s="5"/>
      <c r="AJ114" s="5"/>
      <c r="AK114" s="5"/>
      <c r="AL114" s="5"/>
      <c r="AM114" s="5"/>
      <c r="AN114" s="28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33">
        <f t="shared" si="5"/>
        <v>0</v>
      </c>
      <c r="BN114" s="33" t="s">
        <v>38</v>
      </c>
      <c r="BO114" s="28"/>
      <c r="BP114" s="58"/>
    </row>
    <row r="115" spans="1:68" s="9" customFormat="1" ht="11.25">
      <c r="A115" s="25" t="str">
        <f>"07534"</f>
        <v>07534</v>
      </c>
      <c r="B115" s="58" t="s">
        <v>272</v>
      </c>
      <c r="C115" s="100" t="s">
        <v>192</v>
      </c>
      <c r="D115" s="100" t="s">
        <v>193</v>
      </c>
      <c r="E115" s="6"/>
      <c r="F115" s="6"/>
      <c r="G115" s="6"/>
      <c r="I115" s="6"/>
      <c r="J115" s="6"/>
      <c r="K115" s="6"/>
      <c r="L115" s="6"/>
      <c r="M115" s="6"/>
      <c r="N115" s="6"/>
      <c r="P115" s="6"/>
      <c r="Q115" s="6"/>
      <c r="R115" s="6">
        <v>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14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33">
        <f t="shared" si="5"/>
        <v>1</v>
      </c>
      <c r="BN115" s="33" t="s">
        <v>45</v>
      </c>
      <c r="BO115" s="33"/>
      <c r="BP115" s="55"/>
    </row>
    <row r="116" spans="1:68" s="9" customFormat="1" ht="11.25">
      <c r="A116" s="25" t="str">
        <f>"07604"</f>
        <v>07604</v>
      </c>
      <c r="B116" s="58" t="s">
        <v>273</v>
      </c>
      <c r="C116" s="99" t="s">
        <v>95</v>
      </c>
      <c r="D116" s="99" t="s">
        <v>49</v>
      </c>
      <c r="E116" s="6"/>
      <c r="F116" s="6"/>
      <c r="G116" s="6"/>
      <c r="H116" s="28"/>
      <c r="I116" s="6"/>
      <c r="J116" s="6"/>
      <c r="K116" s="6"/>
      <c r="L116" s="6"/>
      <c r="M116" s="6"/>
      <c r="N116" s="6"/>
      <c r="P116" s="6"/>
      <c r="Q116" s="6"/>
      <c r="R116" s="6"/>
      <c r="S116" s="6"/>
      <c r="T116" s="6"/>
      <c r="U116" s="6"/>
      <c r="V116" s="6"/>
      <c r="W116" s="6"/>
      <c r="X116" s="6">
        <v>20</v>
      </c>
      <c r="Y116" s="6"/>
      <c r="Z116" s="6"/>
      <c r="AA116" s="6"/>
      <c r="AB116" s="6"/>
      <c r="AC116" s="6"/>
      <c r="AD116" s="14"/>
      <c r="AE116" s="6"/>
      <c r="AF116" s="6"/>
      <c r="AG116" s="6"/>
      <c r="AH116" s="6"/>
      <c r="AI116" s="6"/>
      <c r="AJ116" s="6"/>
      <c r="AK116" s="6"/>
      <c r="AL116" s="6"/>
      <c r="AM116" s="6"/>
      <c r="AN116" s="28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33">
        <f t="shared" si="5"/>
        <v>20</v>
      </c>
      <c r="BN116" s="33" t="s">
        <v>58</v>
      </c>
      <c r="BO116" s="33"/>
      <c r="BP116" s="55"/>
    </row>
    <row r="117" spans="1:69" s="10" customFormat="1" ht="22.5">
      <c r="A117" s="25" t="str">
        <f>"09570"</f>
        <v>09570</v>
      </c>
      <c r="B117" s="58" t="s">
        <v>274</v>
      </c>
      <c r="C117" s="99" t="str">
        <f>"FUVARLEVÉL (TEHERGÉPJÁRMŰ) A/4"</f>
        <v>FUVARLEVÉL (TEHERGÉPJÁRMŰ) A/4</v>
      </c>
      <c r="D117" s="99" t="str">
        <f>"PÁTRIA (D.GÉPJÁRMŰ 17/ÚJ)"</f>
        <v>PÁTRIA (D.GÉPJÁRMŰ 17/ÚJ)</v>
      </c>
      <c r="E117" s="5"/>
      <c r="F117" s="5">
        <v>5</v>
      </c>
      <c r="G117" s="5"/>
      <c r="H117" s="28"/>
      <c r="I117" s="5"/>
      <c r="J117" s="5"/>
      <c r="K117" s="5"/>
      <c r="L117" s="5"/>
      <c r="M117" s="5"/>
      <c r="N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13"/>
      <c r="AE117" s="5"/>
      <c r="AF117" s="5"/>
      <c r="AG117" s="5"/>
      <c r="AH117" s="5"/>
      <c r="AI117" s="5"/>
      <c r="AJ117" s="5"/>
      <c r="AK117" s="5"/>
      <c r="AL117" s="5"/>
      <c r="AM117" s="5"/>
      <c r="AN117" s="28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33">
        <f t="shared" si="5"/>
        <v>5</v>
      </c>
      <c r="BN117" s="33" t="s">
        <v>38</v>
      </c>
      <c r="BO117" s="28"/>
      <c r="BP117" s="58"/>
      <c r="BQ117" s="9"/>
    </row>
    <row r="118" spans="1:68" s="9" customFormat="1" ht="11.25">
      <c r="A118" s="25">
        <v>15804</v>
      </c>
      <c r="B118" s="58" t="s">
        <v>275</v>
      </c>
      <c r="C118" s="99" t="s">
        <v>52</v>
      </c>
      <c r="D118" s="99" t="s">
        <v>49</v>
      </c>
      <c r="E118" s="6"/>
      <c r="F118" s="6"/>
      <c r="G118" s="6"/>
      <c r="H118" s="28"/>
      <c r="I118" s="6"/>
      <c r="J118" s="6"/>
      <c r="K118" s="6"/>
      <c r="L118" s="6"/>
      <c r="M118" s="6"/>
      <c r="N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>
        <v>2</v>
      </c>
      <c r="AB118" s="6"/>
      <c r="AC118" s="6"/>
      <c r="AD118" s="14"/>
      <c r="AE118" s="6"/>
      <c r="AF118" s="6"/>
      <c r="AG118" s="6"/>
      <c r="AH118" s="6"/>
      <c r="AI118" s="6"/>
      <c r="AJ118" s="6"/>
      <c r="AK118" s="6"/>
      <c r="AL118" s="6"/>
      <c r="AM118" s="6"/>
      <c r="AN118" s="28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33">
        <f t="shared" si="5"/>
        <v>2</v>
      </c>
      <c r="BN118" s="33" t="s">
        <v>38</v>
      </c>
      <c r="BO118" s="33"/>
      <c r="BP118" s="55"/>
    </row>
    <row r="119" spans="1:68" s="10" customFormat="1" ht="11.25" hidden="1">
      <c r="A119" s="25" t="str">
        <f>"12980"</f>
        <v>12980</v>
      </c>
      <c r="B119" s="58"/>
      <c r="C119" s="99" t="str">
        <f>"GOLYÓSTOLL (ZEBRA N5200)"</f>
        <v>GOLYÓSTOLL (ZEBRA N5200)</v>
      </c>
      <c r="D119" s="99"/>
      <c r="E119" s="5"/>
      <c r="F119" s="5"/>
      <c r="G119" s="5"/>
      <c r="H119" s="28"/>
      <c r="I119" s="5"/>
      <c r="J119" s="5"/>
      <c r="K119" s="5"/>
      <c r="L119" s="5"/>
      <c r="M119" s="5"/>
      <c r="N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13"/>
      <c r="AE119" s="5"/>
      <c r="AF119" s="5"/>
      <c r="AG119" s="5"/>
      <c r="AH119" s="5"/>
      <c r="AI119" s="5"/>
      <c r="AJ119" s="5"/>
      <c r="AK119" s="5"/>
      <c r="AL119" s="5"/>
      <c r="AM119" s="5"/>
      <c r="AN119" s="28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33">
        <f t="shared" si="5"/>
        <v>0</v>
      </c>
      <c r="BN119" s="33" t="s">
        <v>38</v>
      </c>
      <c r="BO119" s="28"/>
      <c r="BP119" s="58"/>
    </row>
    <row r="120" spans="1:68" s="10" customFormat="1" ht="11.25" hidden="1">
      <c r="A120" s="25" t="str">
        <f>"09242"</f>
        <v>09242</v>
      </c>
      <c r="B120" s="58"/>
      <c r="C120" s="99" t="str">
        <f>"GOLYÓSTOLL (ZEBRA RUBBER 101)"</f>
        <v>GOLYÓSTOLL (ZEBRA RUBBER 101)</v>
      </c>
      <c r="D120" s="99"/>
      <c r="E120" s="5"/>
      <c r="F120" s="5"/>
      <c r="G120" s="5"/>
      <c r="H120" s="28"/>
      <c r="I120" s="5"/>
      <c r="J120" s="5"/>
      <c r="K120" s="5"/>
      <c r="L120" s="5"/>
      <c r="M120" s="5"/>
      <c r="N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13"/>
      <c r="AE120" s="5"/>
      <c r="AF120" s="5"/>
      <c r="AG120" s="5"/>
      <c r="AH120" s="5"/>
      <c r="AI120" s="5"/>
      <c r="AJ120" s="5"/>
      <c r="AK120" s="5"/>
      <c r="AL120" s="5"/>
      <c r="AM120" s="5"/>
      <c r="AN120" s="28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33">
        <f t="shared" si="5"/>
        <v>0</v>
      </c>
      <c r="BN120" s="33" t="s">
        <v>38</v>
      </c>
      <c r="BO120" s="28"/>
      <c r="BP120" s="58"/>
    </row>
    <row r="121" spans="1:68" s="9" customFormat="1" ht="11.25">
      <c r="A121" s="25" t="str">
        <f>"08089"</f>
        <v>08089</v>
      </c>
      <c r="B121" s="58" t="s">
        <v>276</v>
      </c>
      <c r="C121" s="99" t="str">
        <f>"FÜZET (KOCKÁS)"</f>
        <v>FÜZET (KOCKÁS)</v>
      </c>
      <c r="D121" s="99" t="str">
        <f>"A/5"</f>
        <v>A/5</v>
      </c>
      <c r="E121" s="6"/>
      <c r="F121" s="6"/>
      <c r="G121" s="6"/>
      <c r="H121" s="28"/>
      <c r="I121" s="6"/>
      <c r="J121" s="6">
        <v>5</v>
      </c>
      <c r="K121" s="6"/>
      <c r="L121" s="6"/>
      <c r="M121" s="6"/>
      <c r="N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14"/>
      <c r="AE121" s="6"/>
      <c r="AF121" s="6"/>
      <c r="AG121" s="6"/>
      <c r="AH121" s="6"/>
      <c r="AI121" s="6"/>
      <c r="AJ121" s="6"/>
      <c r="AK121" s="6"/>
      <c r="AL121" s="6"/>
      <c r="AM121" s="6"/>
      <c r="AN121" s="28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33">
        <f t="shared" si="5"/>
        <v>5</v>
      </c>
      <c r="BN121" s="33" t="s">
        <v>38</v>
      </c>
      <c r="BO121" s="33"/>
      <c r="BP121" s="55"/>
    </row>
    <row r="122" spans="1:68" s="10" customFormat="1" ht="11.25" hidden="1">
      <c r="A122" s="25" t="str">
        <f aca="true" t="shared" si="6" ref="A122:A127">"07440"</f>
        <v>07440</v>
      </c>
      <c r="B122" s="58"/>
      <c r="C122" s="99" t="str">
        <f aca="true" t="shared" si="7" ref="C122:C127">"GOLYÓSTOLL BETÉT"</f>
        <v>GOLYÓSTOLL BETÉT</v>
      </c>
      <c r="D122" s="99" t="str">
        <f>"4 SZÍNŰ (MINI)"</f>
        <v>4 SZÍNŰ (MINI)</v>
      </c>
      <c r="E122" s="5"/>
      <c r="F122" s="5"/>
      <c r="G122" s="5"/>
      <c r="H122" s="28"/>
      <c r="I122" s="5"/>
      <c r="J122" s="5"/>
      <c r="K122" s="5"/>
      <c r="L122" s="5"/>
      <c r="M122" s="5"/>
      <c r="N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13"/>
      <c r="AE122" s="5"/>
      <c r="AF122" s="5"/>
      <c r="AG122" s="5"/>
      <c r="AH122" s="5"/>
      <c r="AI122" s="5"/>
      <c r="AJ122" s="5"/>
      <c r="AK122" s="5"/>
      <c r="AL122" s="5"/>
      <c r="AM122" s="5"/>
      <c r="AN122" s="28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33">
        <f t="shared" si="5"/>
        <v>0</v>
      </c>
      <c r="BN122" s="33" t="s">
        <v>38</v>
      </c>
      <c r="BO122" s="28"/>
      <c r="BP122" s="58"/>
    </row>
    <row r="123" spans="1:68" s="10" customFormat="1" ht="11.25" hidden="1">
      <c r="A123" s="25" t="str">
        <f t="shared" si="6"/>
        <v>07440</v>
      </c>
      <c r="B123" s="58"/>
      <c r="C123" s="99" t="str">
        <f t="shared" si="7"/>
        <v>GOLYÓSTOLL BETÉT</v>
      </c>
      <c r="D123" s="99" t="str">
        <f>"HANDY"</f>
        <v>HANDY</v>
      </c>
      <c r="E123" s="5"/>
      <c r="F123" s="5"/>
      <c r="G123" s="5"/>
      <c r="H123" s="28"/>
      <c r="I123" s="5"/>
      <c r="J123" s="5"/>
      <c r="K123" s="5"/>
      <c r="L123" s="5"/>
      <c r="M123" s="5"/>
      <c r="N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13"/>
      <c r="AE123" s="5"/>
      <c r="AF123" s="5"/>
      <c r="AG123" s="5"/>
      <c r="AH123" s="5"/>
      <c r="AI123" s="5"/>
      <c r="AJ123" s="5"/>
      <c r="AK123" s="5"/>
      <c r="AL123" s="5"/>
      <c r="AM123" s="5"/>
      <c r="AN123" s="28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33">
        <f t="shared" si="5"/>
        <v>0</v>
      </c>
      <c r="BN123" s="33" t="s">
        <v>38</v>
      </c>
      <c r="BO123" s="28"/>
      <c r="BP123" s="58"/>
    </row>
    <row r="124" spans="1:68" s="10" customFormat="1" ht="11.25" hidden="1">
      <c r="A124" s="25" t="str">
        <f t="shared" si="6"/>
        <v>07440</v>
      </c>
      <c r="B124" s="58"/>
      <c r="C124" s="99" t="str">
        <f t="shared" si="7"/>
        <v>GOLYÓSTOLL BETÉT</v>
      </c>
      <c r="D124" s="99" t="str">
        <f>"PARKER"</f>
        <v>PARKER</v>
      </c>
      <c r="E124" s="5"/>
      <c r="F124" s="5"/>
      <c r="G124" s="5"/>
      <c r="H124" s="28"/>
      <c r="I124" s="5"/>
      <c r="J124" s="5"/>
      <c r="K124" s="5"/>
      <c r="L124" s="5"/>
      <c r="M124" s="5"/>
      <c r="N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13"/>
      <c r="AE124" s="5"/>
      <c r="AF124" s="5"/>
      <c r="AG124" s="5"/>
      <c r="AH124" s="5"/>
      <c r="AI124" s="5"/>
      <c r="AJ124" s="5"/>
      <c r="AK124" s="5"/>
      <c r="AL124" s="5"/>
      <c r="AM124" s="5"/>
      <c r="AN124" s="28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33">
        <f t="shared" si="5"/>
        <v>0</v>
      </c>
      <c r="BN124" s="33" t="s">
        <v>38</v>
      </c>
      <c r="BO124" s="28"/>
      <c r="BP124" s="58"/>
    </row>
    <row r="125" spans="1:68" s="10" customFormat="1" ht="11.25" hidden="1">
      <c r="A125" s="25" t="str">
        <f t="shared" si="6"/>
        <v>07440</v>
      </c>
      <c r="B125" s="58"/>
      <c r="C125" s="99" t="str">
        <f t="shared" si="7"/>
        <v>GOLYÓSTOLL BETÉT</v>
      </c>
      <c r="D125" s="99" t="str">
        <f>"PAX"</f>
        <v>PAX</v>
      </c>
      <c r="E125" s="5"/>
      <c r="F125" s="5"/>
      <c r="G125" s="5"/>
      <c r="H125" s="28"/>
      <c r="I125" s="5"/>
      <c r="J125" s="5"/>
      <c r="K125" s="5"/>
      <c r="L125" s="5"/>
      <c r="M125" s="5"/>
      <c r="N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13"/>
      <c r="AE125" s="5"/>
      <c r="AF125" s="5"/>
      <c r="AG125" s="5"/>
      <c r="AH125" s="5"/>
      <c r="AI125" s="5"/>
      <c r="AJ125" s="5"/>
      <c r="AK125" s="5"/>
      <c r="AL125" s="5"/>
      <c r="AM125" s="5"/>
      <c r="AN125" s="28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33">
        <f t="shared" si="5"/>
        <v>0</v>
      </c>
      <c r="BN125" s="33" t="s">
        <v>38</v>
      </c>
      <c r="BO125" s="28"/>
      <c r="BP125" s="58"/>
    </row>
    <row r="126" spans="1:68" s="10" customFormat="1" ht="11.25" hidden="1">
      <c r="A126" s="25" t="str">
        <f t="shared" si="6"/>
        <v>07440</v>
      </c>
      <c r="B126" s="58"/>
      <c r="C126" s="99" t="str">
        <f t="shared" si="7"/>
        <v>GOLYÓSTOLL BETÉT</v>
      </c>
      <c r="D126" s="99" t="str">
        <f>"PENAC (RB 98C 07)"</f>
        <v>PENAC (RB 98C 07)</v>
      </c>
      <c r="E126" s="5"/>
      <c r="F126" s="5"/>
      <c r="G126" s="5"/>
      <c r="H126" s="28"/>
      <c r="I126" s="5"/>
      <c r="J126" s="5"/>
      <c r="K126" s="5"/>
      <c r="L126" s="5"/>
      <c r="M126" s="5"/>
      <c r="N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13"/>
      <c r="AE126" s="5"/>
      <c r="AF126" s="5"/>
      <c r="AG126" s="5"/>
      <c r="AH126" s="5"/>
      <c r="AI126" s="5"/>
      <c r="AJ126" s="5"/>
      <c r="AK126" s="5"/>
      <c r="AL126" s="5"/>
      <c r="AM126" s="5"/>
      <c r="AN126" s="28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33">
        <f t="shared" si="5"/>
        <v>0</v>
      </c>
      <c r="BN126" s="33" t="s">
        <v>38</v>
      </c>
      <c r="BO126" s="28"/>
      <c r="BP126" s="58"/>
    </row>
    <row r="127" spans="1:68" s="10" customFormat="1" ht="11.25" hidden="1">
      <c r="A127" s="25" t="str">
        <f t="shared" si="6"/>
        <v>07440</v>
      </c>
      <c r="B127" s="58"/>
      <c r="C127" s="99" t="str">
        <f t="shared" si="7"/>
        <v>GOLYÓSTOLL BETÉT</v>
      </c>
      <c r="D127" s="99" t="str">
        <f>"PILOT"</f>
        <v>PILOT</v>
      </c>
      <c r="E127" s="5"/>
      <c r="F127" s="5"/>
      <c r="G127" s="5"/>
      <c r="H127" s="28"/>
      <c r="I127" s="5"/>
      <c r="J127" s="5"/>
      <c r="K127" s="5"/>
      <c r="L127" s="5"/>
      <c r="M127" s="5"/>
      <c r="N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13"/>
      <c r="AE127" s="5"/>
      <c r="AF127" s="5"/>
      <c r="AG127" s="5"/>
      <c r="AH127" s="5"/>
      <c r="AI127" s="5"/>
      <c r="AJ127" s="5"/>
      <c r="AK127" s="5"/>
      <c r="AL127" s="5"/>
      <c r="AM127" s="5"/>
      <c r="AN127" s="28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33">
        <f t="shared" si="5"/>
        <v>0</v>
      </c>
      <c r="BN127" s="33" t="s">
        <v>38</v>
      </c>
      <c r="BO127" s="28"/>
      <c r="BP127" s="58"/>
    </row>
    <row r="128" spans="1:69" s="10" customFormat="1" ht="11.25" hidden="1">
      <c r="A128" s="25" t="str">
        <f>"08079"</f>
        <v>08079</v>
      </c>
      <c r="B128" s="58"/>
      <c r="C128" s="99" t="str">
        <f>"GOLYÓSTOLL BETÉT"</f>
        <v>GOLYÓSTOLL BETÉT</v>
      </c>
      <c r="D128" s="99" t="str">
        <f>"RÉZ"</f>
        <v>RÉZ</v>
      </c>
      <c r="E128" s="5"/>
      <c r="F128" s="5"/>
      <c r="G128" s="5"/>
      <c r="H128" s="28"/>
      <c r="I128" s="5"/>
      <c r="J128" s="5"/>
      <c r="K128" s="5"/>
      <c r="L128" s="5"/>
      <c r="M128" s="5"/>
      <c r="N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13"/>
      <c r="AE128" s="5"/>
      <c r="AF128" s="5"/>
      <c r="AG128" s="5"/>
      <c r="AH128" s="5"/>
      <c r="AI128" s="5"/>
      <c r="AJ128" s="5"/>
      <c r="AK128" s="5"/>
      <c r="AL128" s="5"/>
      <c r="AM128" s="5"/>
      <c r="AN128" s="28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33">
        <f t="shared" si="5"/>
        <v>0</v>
      </c>
      <c r="BN128" s="33" t="s">
        <v>38</v>
      </c>
      <c r="BO128" s="28"/>
      <c r="BP128" s="58"/>
      <c r="BQ128" s="9"/>
    </row>
    <row r="129" spans="1:69" s="9" customFormat="1" ht="11.25" hidden="1">
      <c r="A129" s="25" t="str">
        <f>"09672"</f>
        <v>09672</v>
      </c>
      <c r="B129" s="58"/>
      <c r="C129" s="99" t="str">
        <f>"GOLYÓSTOLL BETÉT"</f>
        <v>GOLYÓSTOLL BETÉT</v>
      </c>
      <c r="D129" s="99" t="str">
        <f>"X-20"</f>
        <v>X-20</v>
      </c>
      <c r="E129" s="6"/>
      <c r="F129" s="6"/>
      <c r="G129" s="6"/>
      <c r="H129" s="28"/>
      <c r="I129" s="6"/>
      <c r="J129" s="6"/>
      <c r="K129" s="6"/>
      <c r="L129" s="6"/>
      <c r="M129" s="6"/>
      <c r="N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14"/>
      <c r="AE129" s="6"/>
      <c r="AF129" s="6"/>
      <c r="AG129" s="6"/>
      <c r="AH129" s="6"/>
      <c r="AI129" s="6"/>
      <c r="AJ129" s="6"/>
      <c r="AK129" s="6"/>
      <c r="AL129" s="6"/>
      <c r="AM129" s="6"/>
      <c r="AN129" s="28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33">
        <f t="shared" si="5"/>
        <v>0</v>
      </c>
      <c r="BN129" s="33" t="s">
        <v>38</v>
      </c>
      <c r="BO129" s="33"/>
      <c r="BP129" s="55"/>
      <c r="BQ129" s="10"/>
    </row>
    <row r="130" spans="1:68" s="9" customFormat="1" ht="11.25">
      <c r="A130" s="25" t="str">
        <f>"07609"</f>
        <v>07609</v>
      </c>
      <c r="B130" s="58" t="s">
        <v>277</v>
      </c>
      <c r="C130" s="99" t="s">
        <v>53</v>
      </c>
      <c r="D130" s="99" t="str">
        <f>"A/4"</f>
        <v>A/4</v>
      </c>
      <c r="E130" s="6">
        <v>2</v>
      </c>
      <c r="F130" s="6"/>
      <c r="G130" s="6">
        <v>5</v>
      </c>
      <c r="H130" s="28"/>
      <c r="I130" s="6"/>
      <c r="J130" s="6">
        <v>5</v>
      </c>
      <c r="K130" s="6"/>
      <c r="L130" s="6"/>
      <c r="M130" s="6"/>
      <c r="N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14"/>
      <c r="AE130" s="6"/>
      <c r="AF130" s="6"/>
      <c r="AG130" s="6"/>
      <c r="AH130" s="6"/>
      <c r="AI130" s="6"/>
      <c r="AJ130" s="6"/>
      <c r="AK130" s="6"/>
      <c r="AL130" s="6"/>
      <c r="AM130" s="6"/>
      <c r="AN130" s="28"/>
      <c r="AO130" s="6"/>
      <c r="AP130" s="6"/>
      <c r="AQ130" s="6"/>
      <c r="AR130" s="6"/>
      <c r="AS130" s="6">
        <v>1</v>
      </c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33">
        <f t="shared" si="5"/>
        <v>13</v>
      </c>
      <c r="BN130" s="33" t="s">
        <v>38</v>
      </c>
      <c r="BO130" s="33"/>
      <c r="BP130" s="55"/>
    </row>
    <row r="131" spans="1:68" s="10" customFormat="1" ht="11.25" hidden="1">
      <c r="A131" s="25" t="str">
        <f>"07611"</f>
        <v>07611</v>
      </c>
      <c r="B131" s="58"/>
      <c r="C131" s="99" t="str">
        <f>"GOLYÓSTOLL BETÉT (ZSELÉS)"</f>
        <v>GOLYÓSTOLL BETÉT (ZSELÉS)</v>
      </c>
      <c r="D131" s="99" t="str">
        <f>"PARKER"</f>
        <v>PARKER</v>
      </c>
      <c r="E131" s="5"/>
      <c r="F131" s="5"/>
      <c r="G131" s="5"/>
      <c r="H131" s="28"/>
      <c r="I131" s="5"/>
      <c r="J131" s="5"/>
      <c r="K131" s="5"/>
      <c r="L131" s="5"/>
      <c r="M131" s="5"/>
      <c r="N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13"/>
      <c r="AE131" s="5"/>
      <c r="AF131" s="5"/>
      <c r="AG131" s="5"/>
      <c r="AH131" s="5"/>
      <c r="AI131" s="5"/>
      <c r="AJ131" s="5"/>
      <c r="AK131" s="5"/>
      <c r="AL131" s="5"/>
      <c r="AM131" s="5"/>
      <c r="AN131" s="28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33">
        <f t="shared" si="5"/>
        <v>0</v>
      </c>
      <c r="BN131" s="33" t="s">
        <v>38</v>
      </c>
      <c r="BO131" s="28"/>
      <c r="BP131" s="58"/>
    </row>
    <row r="132" spans="1:68" s="10" customFormat="1" ht="11.25" hidden="1">
      <c r="A132" s="25" t="str">
        <f>"09964"</f>
        <v>09964</v>
      </c>
      <c r="B132" s="58"/>
      <c r="C132" s="99" t="str">
        <f>"GYORS MASNI"</f>
        <v>GYORS MASNI</v>
      </c>
      <c r="D132" s="99"/>
      <c r="E132" s="5"/>
      <c r="F132" s="5"/>
      <c r="G132" s="5"/>
      <c r="H132" s="28"/>
      <c r="I132" s="5"/>
      <c r="J132" s="5"/>
      <c r="K132" s="5"/>
      <c r="L132" s="5"/>
      <c r="M132" s="5"/>
      <c r="N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13"/>
      <c r="AE132" s="5"/>
      <c r="AF132" s="5"/>
      <c r="AG132" s="5"/>
      <c r="AH132" s="5"/>
      <c r="AI132" s="5"/>
      <c r="AJ132" s="5"/>
      <c r="AK132" s="5"/>
      <c r="AL132" s="5"/>
      <c r="AM132" s="5"/>
      <c r="AN132" s="28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33">
        <f t="shared" si="5"/>
        <v>0</v>
      </c>
      <c r="BN132" s="33" t="s">
        <v>38</v>
      </c>
      <c r="BO132" s="28"/>
      <c r="BP132" s="58"/>
    </row>
    <row r="133" spans="1:68" s="9" customFormat="1" ht="11.25">
      <c r="A133" s="25">
        <v>14695</v>
      </c>
      <c r="B133" s="58" t="s">
        <v>278</v>
      </c>
      <c r="C133" s="99" t="s">
        <v>56</v>
      </c>
      <c r="D133" s="99" t="s">
        <v>49</v>
      </c>
      <c r="E133" s="6"/>
      <c r="F133" s="6"/>
      <c r="G133" s="6"/>
      <c r="H133" s="28"/>
      <c r="I133" s="6"/>
      <c r="J133" s="6"/>
      <c r="K133" s="6"/>
      <c r="L133" s="6"/>
      <c r="M133" s="6"/>
      <c r="N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>
        <v>2</v>
      </c>
      <c r="AB133" s="6"/>
      <c r="AC133" s="6"/>
      <c r="AD133" s="14"/>
      <c r="AE133" s="6"/>
      <c r="AF133" s="6"/>
      <c r="AG133" s="6"/>
      <c r="AH133" s="6"/>
      <c r="AI133" s="6"/>
      <c r="AJ133" s="6"/>
      <c r="AK133" s="6"/>
      <c r="AL133" s="6"/>
      <c r="AM133" s="6"/>
      <c r="AN133" s="28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33">
        <f t="shared" si="5"/>
        <v>2</v>
      </c>
      <c r="BN133" s="33" t="s">
        <v>38</v>
      </c>
      <c r="BO133" s="33"/>
      <c r="BP133" s="55"/>
    </row>
    <row r="134" spans="1:68" s="9" customFormat="1" ht="11.25">
      <c r="A134" s="25" t="str">
        <f>"07614"</f>
        <v>07614</v>
      </c>
      <c r="B134" s="58" t="s">
        <v>279</v>
      </c>
      <c r="C134" s="99" t="str">
        <f>"GÉMKAPOCS (NAGY)"</f>
        <v>GÉMKAPOCS (NAGY)</v>
      </c>
      <c r="D134" s="99" t="str">
        <f>"55MM"</f>
        <v>55MM</v>
      </c>
      <c r="E134" s="6">
        <v>1</v>
      </c>
      <c r="F134" s="6"/>
      <c r="G134" s="6"/>
      <c r="H134" s="28"/>
      <c r="I134" s="6"/>
      <c r="J134" s="6"/>
      <c r="K134" s="6"/>
      <c r="L134" s="6"/>
      <c r="M134" s="6"/>
      <c r="N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14"/>
      <c r="AE134" s="6"/>
      <c r="AF134" s="6"/>
      <c r="AG134" s="6"/>
      <c r="AH134" s="6"/>
      <c r="AI134" s="6"/>
      <c r="AJ134" s="6"/>
      <c r="AK134" s="6"/>
      <c r="AL134" s="6"/>
      <c r="AM134" s="6"/>
      <c r="AN134" s="28"/>
      <c r="AO134" s="6"/>
      <c r="AP134" s="6"/>
      <c r="AQ134" s="6"/>
      <c r="AR134" s="6"/>
      <c r="AS134" s="6"/>
      <c r="AT134" s="6"/>
      <c r="AU134" s="6"/>
      <c r="AV134" s="6"/>
      <c r="AW134" s="6">
        <v>2</v>
      </c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33">
        <f t="shared" si="5"/>
        <v>3</v>
      </c>
      <c r="BN134" s="33" t="s">
        <v>45</v>
      </c>
      <c r="BO134" s="33"/>
      <c r="BP134" s="55"/>
    </row>
    <row r="135" spans="1:68" s="9" customFormat="1" ht="22.5">
      <c r="A135" s="25" t="str">
        <f>"07614"</f>
        <v>07614</v>
      </c>
      <c r="B135" s="58" t="s">
        <v>280</v>
      </c>
      <c r="C135" s="99" t="s">
        <v>47</v>
      </c>
      <c r="D135" s="99" t="s">
        <v>46</v>
      </c>
      <c r="E135" s="6"/>
      <c r="F135" s="6"/>
      <c r="G135" s="6">
        <v>1</v>
      </c>
      <c r="H135" s="28"/>
      <c r="I135" s="6"/>
      <c r="J135" s="6"/>
      <c r="K135" s="6"/>
      <c r="L135" s="6"/>
      <c r="M135" s="6"/>
      <c r="N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14"/>
      <c r="AE135" s="6"/>
      <c r="AF135" s="6"/>
      <c r="AG135" s="6"/>
      <c r="AH135" s="6"/>
      <c r="AI135" s="6"/>
      <c r="AJ135" s="6"/>
      <c r="AK135" s="6"/>
      <c r="AL135" s="6"/>
      <c r="AM135" s="6"/>
      <c r="AN135" s="28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33">
        <f t="shared" si="5"/>
        <v>1</v>
      </c>
      <c r="BN135" s="33" t="s">
        <v>45</v>
      </c>
      <c r="BO135" s="33"/>
      <c r="BP135" s="55"/>
    </row>
    <row r="136" spans="1:69" s="10" customFormat="1" ht="11.25" hidden="1">
      <c r="A136" s="35" t="str">
        <f>"08087"</f>
        <v>08087</v>
      </c>
      <c r="B136" s="59"/>
      <c r="C136" s="99" t="str">
        <f>"GYURMA"</f>
        <v>GYURMA</v>
      </c>
      <c r="D136" s="99"/>
      <c r="E136" s="5"/>
      <c r="F136" s="5"/>
      <c r="G136" s="5"/>
      <c r="H136" s="28"/>
      <c r="I136" s="5"/>
      <c r="J136" s="5"/>
      <c r="K136" s="5"/>
      <c r="L136" s="5"/>
      <c r="M136" s="5"/>
      <c r="N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13"/>
      <c r="AE136" s="5"/>
      <c r="AF136" s="5"/>
      <c r="AG136" s="5"/>
      <c r="AH136" s="5"/>
      <c r="AI136" s="5"/>
      <c r="AJ136" s="5"/>
      <c r="AK136" s="5"/>
      <c r="AL136" s="5"/>
      <c r="AM136" s="5"/>
      <c r="AN136" s="28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33">
        <f t="shared" si="5"/>
        <v>0</v>
      </c>
      <c r="BN136" s="33" t="s">
        <v>38</v>
      </c>
      <c r="BO136" s="28"/>
      <c r="BP136" s="58"/>
      <c r="BQ136" s="9"/>
    </row>
    <row r="137" spans="1:69" s="9" customFormat="1" ht="11.25" hidden="1">
      <c r="A137" s="35" t="str">
        <f>"12268"</f>
        <v>12268</v>
      </c>
      <c r="B137" s="59"/>
      <c r="C137" s="99" t="str">
        <f>"GYŰRŰSKÖNYV"</f>
        <v>GYŰRŰSKÖNYV</v>
      </c>
      <c r="D137" s="99" t="str">
        <f>"A/5"</f>
        <v>A/5</v>
      </c>
      <c r="E137" s="6"/>
      <c r="F137" s="6"/>
      <c r="G137" s="6"/>
      <c r="H137" s="28"/>
      <c r="I137" s="6"/>
      <c r="J137" s="6"/>
      <c r="K137" s="6"/>
      <c r="L137" s="6"/>
      <c r="M137" s="6"/>
      <c r="N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14"/>
      <c r="AE137" s="6"/>
      <c r="AF137" s="6"/>
      <c r="AG137" s="6"/>
      <c r="AH137" s="6"/>
      <c r="AI137" s="6"/>
      <c r="AJ137" s="6"/>
      <c r="AK137" s="6"/>
      <c r="AL137" s="6"/>
      <c r="AM137" s="6"/>
      <c r="AN137" s="28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33">
        <f t="shared" si="5"/>
        <v>0</v>
      </c>
      <c r="BN137" s="33" t="s">
        <v>38</v>
      </c>
      <c r="BO137" s="33"/>
      <c r="BP137" s="55"/>
      <c r="BQ137" s="10"/>
    </row>
    <row r="138" spans="1:68" s="10" customFormat="1" ht="11.25" hidden="1">
      <c r="A138" s="35" t="str">
        <f>"07416"</f>
        <v>07416</v>
      </c>
      <c r="B138" s="59"/>
      <c r="C138" s="99" t="str">
        <f>"HATÁRIDŐNAPLÓ A/5"</f>
        <v>HATÁRIDŐNAPLÓ A/5</v>
      </c>
      <c r="D138" s="99" t="str">
        <f>"3101"</f>
        <v>3101</v>
      </c>
      <c r="E138" s="5"/>
      <c r="F138" s="5"/>
      <c r="G138" s="5"/>
      <c r="H138" s="28"/>
      <c r="I138" s="5"/>
      <c r="J138" s="5"/>
      <c r="K138" s="5"/>
      <c r="L138" s="5"/>
      <c r="M138" s="5"/>
      <c r="N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13"/>
      <c r="AE138" s="5"/>
      <c r="AF138" s="5"/>
      <c r="AG138" s="5"/>
      <c r="AH138" s="5"/>
      <c r="AI138" s="5"/>
      <c r="AJ138" s="5"/>
      <c r="AK138" s="5"/>
      <c r="AL138" s="5"/>
      <c r="AM138" s="5"/>
      <c r="AN138" s="28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33">
        <f t="shared" si="5"/>
        <v>0</v>
      </c>
      <c r="BN138" s="33" t="s">
        <v>38</v>
      </c>
      <c r="BO138" s="28"/>
      <c r="BP138" s="58"/>
    </row>
    <row r="139" spans="1:68" s="10" customFormat="1" ht="11.25" hidden="1">
      <c r="A139" s="35" t="str">
        <f>"08009"</f>
        <v>08009</v>
      </c>
      <c r="B139" s="59"/>
      <c r="C139" s="99" t="str">
        <f>"HATÁROZATOK KÖNYVE"</f>
        <v>HATÁROZATOK KÖNYVE</v>
      </c>
      <c r="D139" s="99"/>
      <c r="E139" s="5"/>
      <c r="F139" s="5"/>
      <c r="G139" s="5"/>
      <c r="H139" s="28"/>
      <c r="I139" s="5"/>
      <c r="J139" s="5"/>
      <c r="K139" s="5"/>
      <c r="L139" s="5"/>
      <c r="M139" s="5"/>
      <c r="N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13"/>
      <c r="AE139" s="5"/>
      <c r="AF139" s="5"/>
      <c r="AG139" s="5"/>
      <c r="AH139" s="5"/>
      <c r="AI139" s="5"/>
      <c r="AJ139" s="5"/>
      <c r="AK139" s="5"/>
      <c r="AL139" s="5"/>
      <c r="AM139" s="5"/>
      <c r="AN139" s="28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33">
        <f t="shared" si="5"/>
        <v>0</v>
      </c>
      <c r="BN139" s="33" t="s">
        <v>38</v>
      </c>
      <c r="BO139" s="28"/>
      <c r="BP139" s="58"/>
    </row>
    <row r="140" spans="1:68" s="10" customFormat="1" ht="11.25" hidden="1">
      <c r="A140" s="35" t="str">
        <f>"09655"</f>
        <v>09655</v>
      </c>
      <c r="B140" s="59"/>
      <c r="C140" s="99" t="str">
        <f>"HÁTLAP (BŐRHATÁSÚ)"</f>
        <v>HÁTLAP (BŐRHATÁSÚ)</v>
      </c>
      <c r="D140" s="99" t="s">
        <v>71</v>
      </c>
      <c r="E140" s="5"/>
      <c r="F140" s="5"/>
      <c r="G140" s="5"/>
      <c r="H140" s="28"/>
      <c r="I140" s="5"/>
      <c r="J140" s="5"/>
      <c r="K140" s="5"/>
      <c r="L140" s="5"/>
      <c r="M140" s="5"/>
      <c r="N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13"/>
      <c r="AE140" s="5"/>
      <c r="AF140" s="5"/>
      <c r="AG140" s="5"/>
      <c r="AH140" s="5"/>
      <c r="AI140" s="5"/>
      <c r="AJ140" s="5"/>
      <c r="AK140" s="5"/>
      <c r="AL140" s="5"/>
      <c r="AM140" s="5"/>
      <c r="AN140" s="28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33">
        <f t="shared" si="5"/>
        <v>0</v>
      </c>
      <c r="BN140" s="33" t="s">
        <v>38</v>
      </c>
      <c r="BO140" s="28"/>
      <c r="BP140" s="58"/>
    </row>
    <row r="141" spans="1:68" s="10" customFormat="1" ht="11.25" hidden="1">
      <c r="A141" s="25" t="str">
        <f>"13593"</f>
        <v>13593</v>
      </c>
      <c r="B141" s="58"/>
      <c r="C141" s="99" t="str">
        <f>"HIBAJAVÍTÓ FESTÉK (ECSETES)"</f>
        <v>HIBAJAVÍTÓ FESTÉK (ECSETES)</v>
      </c>
      <c r="D141" s="99" t="str">
        <f>"KORES"</f>
        <v>KORES</v>
      </c>
      <c r="E141" s="5"/>
      <c r="F141" s="5"/>
      <c r="G141" s="5"/>
      <c r="H141" s="28"/>
      <c r="I141" s="5"/>
      <c r="J141" s="5"/>
      <c r="K141" s="5"/>
      <c r="L141" s="5"/>
      <c r="M141" s="5"/>
      <c r="N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13"/>
      <c r="AE141" s="5"/>
      <c r="AF141" s="5"/>
      <c r="AG141" s="5"/>
      <c r="AH141" s="5"/>
      <c r="AI141" s="5"/>
      <c r="AJ141" s="5"/>
      <c r="AK141" s="5"/>
      <c r="AL141" s="5"/>
      <c r="AM141" s="5"/>
      <c r="AN141" s="28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33">
        <f t="shared" si="5"/>
        <v>0</v>
      </c>
      <c r="BN141" s="33" t="s">
        <v>38</v>
      </c>
      <c r="BO141" s="28"/>
      <c r="BP141" s="58"/>
    </row>
    <row r="142" spans="1:68" s="10" customFormat="1" ht="11.25" hidden="1">
      <c r="A142" s="25" t="str">
        <f>"13873"</f>
        <v>13873</v>
      </c>
      <c r="B142" s="58"/>
      <c r="C142" s="99" t="str">
        <f>"HIBAJAVÍTÓ FESTÉKHÍGÍTÓ"</f>
        <v>HIBAJAVÍTÓ FESTÉKHÍGÍTÓ</v>
      </c>
      <c r="D142" s="99"/>
      <c r="E142" s="5"/>
      <c r="F142" s="5"/>
      <c r="G142" s="5"/>
      <c r="H142" s="28"/>
      <c r="I142" s="5"/>
      <c r="J142" s="5"/>
      <c r="K142" s="5"/>
      <c r="L142" s="5"/>
      <c r="M142" s="5"/>
      <c r="N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13"/>
      <c r="AE142" s="5"/>
      <c r="AF142" s="5"/>
      <c r="AG142" s="5"/>
      <c r="AH142" s="5"/>
      <c r="AI142" s="5"/>
      <c r="AJ142" s="5"/>
      <c r="AK142" s="5"/>
      <c r="AL142" s="5"/>
      <c r="AM142" s="5"/>
      <c r="AN142" s="28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33">
        <f t="shared" si="5"/>
        <v>0</v>
      </c>
      <c r="BN142" s="33" t="s">
        <v>38</v>
      </c>
      <c r="BO142" s="28"/>
      <c r="BP142" s="58"/>
    </row>
    <row r="143" spans="1:68" s="9" customFormat="1" ht="11.25">
      <c r="A143" s="25" t="str">
        <f>"07592"</f>
        <v>07592</v>
      </c>
      <c r="B143" s="58" t="s">
        <v>281</v>
      </c>
      <c r="C143" s="99" t="str">
        <f>"GÉMKAPOCS (NORMÁL)"</f>
        <v>GÉMKAPOCS (NORMÁL)</v>
      </c>
      <c r="D143" s="99" t="str">
        <f>"33MM"</f>
        <v>33MM</v>
      </c>
      <c r="E143" s="6"/>
      <c r="F143" s="6"/>
      <c r="G143" s="6"/>
      <c r="H143" s="28">
        <v>1</v>
      </c>
      <c r="I143" s="6"/>
      <c r="J143" s="6">
        <v>10</v>
      </c>
      <c r="K143" s="6"/>
      <c r="L143" s="6"/>
      <c r="M143" s="6"/>
      <c r="N143" s="6"/>
      <c r="P143" s="6"/>
      <c r="Q143" s="6"/>
      <c r="R143" s="6">
        <v>10</v>
      </c>
      <c r="S143" s="6"/>
      <c r="T143" s="6"/>
      <c r="U143" s="6">
        <v>2</v>
      </c>
      <c r="V143" s="6"/>
      <c r="W143" s="6"/>
      <c r="X143" s="6"/>
      <c r="Y143" s="6"/>
      <c r="Z143" s="6"/>
      <c r="AA143" s="6"/>
      <c r="AB143" s="6"/>
      <c r="AC143" s="6"/>
      <c r="AD143" s="14"/>
      <c r="AE143" s="6"/>
      <c r="AF143" s="6"/>
      <c r="AG143" s="6"/>
      <c r="AH143" s="6"/>
      <c r="AI143" s="6"/>
      <c r="AJ143" s="6"/>
      <c r="AK143" s="6"/>
      <c r="AL143" s="6"/>
      <c r="AM143" s="6"/>
      <c r="AN143" s="28"/>
      <c r="AO143" s="6"/>
      <c r="AP143" s="6"/>
      <c r="AQ143" s="6"/>
      <c r="AR143" s="6"/>
      <c r="AS143" s="6">
        <v>2</v>
      </c>
      <c r="AT143" s="6"/>
      <c r="AU143" s="6"/>
      <c r="AV143" s="6"/>
      <c r="AW143" s="6">
        <v>4</v>
      </c>
      <c r="AX143" s="6"/>
      <c r="AY143" s="6"/>
      <c r="AZ143" s="6"/>
      <c r="BA143" s="6"/>
      <c r="BB143" s="6">
        <v>2</v>
      </c>
      <c r="BC143" s="6">
        <v>2</v>
      </c>
      <c r="BD143" s="6"/>
      <c r="BE143" s="6"/>
      <c r="BF143" s="6"/>
      <c r="BG143" s="6"/>
      <c r="BH143" s="6"/>
      <c r="BI143" s="6"/>
      <c r="BJ143" s="6"/>
      <c r="BK143" s="6"/>
      <c r="BL143" s="6"/>
      <c r="BM143" s="33">
        <f t="shared" si="5"/>
        <v>33</v>
      </c>
      <c r="BN143" s="33" t="s">
        <v>45</v>
      </c>
      <c r="BO143" s="33"/>
      <c r="BP143" s="55"/>
    </row>
    <row r="144" spans="1:68" s="9" customFormat="1" ht="22.5">
      <c r="A144" s="25" t="str">
        <f>"07592"</f>
        <v>07592</v>
      </c>
      <c r="B144" s="58" t="s">
        <v>282</v>
      </c>
      <c r="C144" s="99" t="s">
        <v>44</v>
      </c>
      <c r="D144" s="99" t="str">
        <f>"33MM"</f>
        <v>33MM</v>
      </c>
      <c r="E144" s="6">
        <v>1</v>
      </c>
      <c r="F144" s="6"/>
      <c r="G144" s="6"/>
      <c r="H144" s="28"/>
      <c r="I144" s="6"/>
      <c r="J144" s="6"/>
      <c r="K144" s="6">
        <v>5</v>
      </c>
      <c r="L144" s="6">
        <v>5</v>
      </c>
      <c r="M144" s="6"/>
      <c r="N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14"/>
      <c r="AE144" s="6"/>
      <c r="AF144" s="6"/>
      <c r="AG144" s="6"/>
      <c r="AH144" s="6"/>
      <c r="AI144" s="6"/>
      <c r="AJ144" s="6"/>
      <c r="AK144" s="6"/>
      <c r="AL144" s="6"/>
      <c r="AM144" s="6"/>
      <c r="AN144" s="28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33">
        <f aca="true" t="shared" si="8" ref="BM144:BM199">SUM(E144:BL144)</f>
        <v>11</v>
      </c>
      <c r="BN144" s="33" t="s">
        <v>45</v>
      </c>
      <c r="BO144" s="33"/>
      <c r="BP144" s="55"/>
    </row>
    <row r="145" spans="1:68" s="10" customFormat="1" ht="11.25" hidden="1">
      <c r="A145" s="25" t="str">
        <f>"07592"</f>
        <v>07592</v>
      </c>
      <c r="B145" s="58"/>
      <c r="C145" s="99" t="str">
        <f>"HIBAJAVÍTÓ TOLL (STRANGER)"</f>
        <v>HIBAJAVÍTÓ TOLL (STRANGER)</v>
      </c>
      <c r="D145" s="99"/>
      <c r="E145" s="5"/>
      <c r="F145" s="5"/>
      <c r="G145" s="5"/>
      <c r="H145" s="28"/>
      <c r="I145" s="5"/>
      <c r="J145" s="5"/>
      <c r="K145" s="5"/>
      <c r="L145" s="5"/>
      <c r="M145" s="5"/>
      <c r="N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13"/>
      <c r="AE145" s="5"/>
      <c r="AF145" s="5"/>
      <c r="AG145" s="5"/>
      <c r="AH145" s="5"/>
      <c r="AI145" s="5"/>
      <c r="AJ145" s="5"/>
      <c r="AK145" s="5"/>
      <c r="AL145" s="5"/>
      <c r="AM145" s="5"/>
      <c r="AN145" s="28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33">
        <f t="shared" si="8"/>
        <v>0</v>
      </c>
      <c r="BN145" s="28"/>
      <c r="BO145" s="28"/>
      <c r="BP145" s="58"/>
    </row>
    <row r="146" spans="1:68" s="10" customFormat="1" ht="11.25" hidden="1">
      <c r="A146" s="25" t="str">
        <f>"07592"</f>
        <v>07592</v>
      </c>
      <c r="B146" s="58"/>
      <c r="C146" s="99" t="str">
        <f>"HULLADÉK ELHELYEZÉSI JEGY"</f>
        <v>HULLADÉK ELHELYEZÉSI JEGY</v>
      </c>
      <c r="D146" s="99" t="str">
        <f>"(TISZASZOLG)"</f>
        <v>(TISZASZOLG)</v>
      </c>
      <c r="E146" s="5"/>
      <c r="F146" s="5"/>
      <c r="G146" s="5"/>
      <c r="H146" s="28"/>
      <c r="I146" s="5"/>
      <c r="J146" s="5"/>
      <c r="K146" s="5"/>
      <c r="L146" s="5"/>
      <c r="M146" s="5"/>
      <c r="N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13"/>
      <c r="AE146" s="5"/>
      <c r="AF146" s="5"/>
      <c r="AG146" s="5"/>
      <c r="AH146" s="5"/>
      <c r="AI146" s="5"/>
      <c r="AJ146" s="5"/>
      <c r="AK146" s="5"/>
      <c r="AL146" s="5"/>
      <c r="AM146" s="5"/>
      <c r="AN146" s="28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33">
        <f t="shared" si="8"/>
        <v>0</v>
      </c>
      <c r="BN146" s="28"/>
      <c r="BO146" s="28"/>
      <c r="BP146" s="58"/>
    </row>
    <row r="147" spans="1:68" s="10" customFormat="1" ht="11.25" hidden="1">
      <c r="A147" s="25" t="str">
        <f>"07592"</f>
        <v>07592</v>
      </c>
      <c r="B147" s="58"/>
      <c r="C147" s="99" t="str">
        <f>"IKTATÓKÖNYV (SOROS)"</f>
        <v>IKTATÓKÖNYV (SOROS)</v>
      </c>
      <c r="D147" s="99" t="str">
        <f>"C 5230-152"</f>
        <v>C 5230-152</v>
      </c>
      <c r="E147" s="5"/>
      <c r="F147" s="5"/>
      <c r="G147" s="5"/>
      <c r="H147" s="28"/>
      <c r="I147" s="5"/>
      <c r="J147" s="5"/>
      <c r="K147" s="5"/>
      <c r="L147" s="5"/>
      <c r="M147" s="5"/>
      <c r="N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13"/>
      <c r="AE147" s="5"/>
      <c r="AF147" s="5"/>
      <c r="AG147" s="5"/>
      <c r="AH147" s="5"/>
      <c r="AI147" s="5"/>
      <c r="AJ147" s="5"/>
      <c r="AK147" s="5"/>
      <c r="AL147" s="5"/>
      <c r="AM147" s="5"/>
      <c r="AN147" s="28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33">
        <f t="shared" si="8"/>
        <v>0</v>
      </c>
      <c r="BN147" s="28"/>
      <c r="BO147" s="28"/>
      <c r="BP147" s="58"/>
    </row>
    <row r="148" spans="1:68" s="10" customFormat="1" ht="22.5">
      <c r="A148" s="25" t="str">
        <f>"09026"</f>
        <v>09026</v>
      </c>
      <c r="B148" s="58" t="s">
        <v>283</v>
      </c>
      <c r="C148" s="99" t="s">
        <v>235</v>
      </c>
      <c r="D148" s="99"/>
      <c r="E148" s="5"/>
      <c r="F148" s="5"/>
      <c r="G148" s="5"/>
      <c r="H148" s="28"/>
      <c r="I148" s="5"/>
      <c r="J148" s="5"/>
      <c r="K148" s="5"/>
      <c r="L148" s="5"/>
      <c r="M148" s="5"/>
      <c r="N148" s="5"/>
      <c r="P148" s="5"/>
      <c r="Q148" s="5"/>
      <c r="R148" s="6">
        <v>1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13"/>
      <c r="AE148" s="5"/>
      <c r="AF148" s="5"/>
      <c r="AG148" s="5"/>
      <c r="AH148" s="5"/>
      <c r="AI148" s="5"/>
      <c r="AJ148" s="5"/>
      <c r="AK148" s="5"/>
      <c r="AL148" s="5"/>
      <c r="AM148" s="5"/>
      <c r="AN148" s="28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33">
        <f t="shared" si="8"/>
        <v>1</v>
      </c>
      <c r="BN148" s="33" t="s">
        <v>38</v>
      </c>
      <c r="BO148" s="28"/>
      <c r="BP148" s="58"/>
    </row>
    <row r="149" spans="1:68" s="10" customFormat="1" ht="22.5">
      <c r="A149" s="25">
        <v>14578</v>
      </c>
      <c r="B149" s="58" t="s">
        <v>284</v>
      </c>
      <c r="C149" s="99" t="s">
        <v>202</v>
      </c>
      <c r="D149" s="99" t="s">
        <v>233</v>
      </c>
      <c r="E149" s="5">
        <v>10</v>
      </c>
      <c r="F149" s="5">
        <v>20</v>
      </c>
      <c r="G149" s="5"/>
      <c r="H149" s="28"/>
      <c r="I149" s="5"/>
      <c r="J149" s="5"/>
      <c r="K149" s="5"/>
      <c r="L149" s="5"/>
      <c r="M149" s="5"/>
      <c r="N149" s="5"/>
      <c r="P149" s="5"/>
      <c r="Q149" s="5"/>
      <c r="R149" s="5">
        <v>200</v>
      </c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13"/>
      <c r="AE149" s="5"/>
      <c r="AF149" s="5"/>
      <c r="AG149" s="5"/>
      <c r="AH149" s="5"/>
      <c r="AI149" s="5"/>
      <c r="AJ149" s="5"/>
      <c r="AK149" s="5"/>
      <c r="AL149" s="5"/>
      <c r="AM149" s="5"/>
      <c r="AN149" s="28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33">
        <f t="shared" si="8"/>
        <v>230</v>
      </c>
      <c r="BN149" s="33" t="s">
        <v>38</v>
      </c>
      <c r="BO149" s="28"/>
      <c r="BP149" s="58"/>
    </row>
    <row r="150" spans="1:68" s="10" customFormat="1" ht="22.5">
      <c r="A150" s="25">
        <v>14578</v>
      </c>
      <c r="B150" s="58" t="s">
        <v>285</v>
      </c>
      <c r="C150" s="99" t="s">
        <v>202</v>
      </c>
      <c r="D150" s="99" t="s">
        <v>234</v>
      </c>
      <c r="E150" s="5"/>
      <c r="F150" s="5"/>
      <c r="G150" s="5"/>
      <c r="H150" s="28"/>
      <c r="I150" s="5"/>
      <c r="J150" s="5"/>
      <c r="K150" s="5"/>
      <c r="L150" s="5"/>
      <c r="M150" s="5"/>
      <c r="N150" s="5"/>
      <c r="P150" s="5"/>
      <c r="Q150" s="5"/>
      <c r="R150" s="5">
        <v>50</v>
      </c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13"/>
      <c r="AE150" s="5"/>
      <c r="AF150" s="5"/>
      <c r="AG150" s="5"/>
      <c r="AH150" s="5"/>
      <c r="AI150" s="5"/>
      <c r="AJ150" s="5"/>
      <c r="AK150" s="5"/>
      <c r="AL150" s="5"/>
      <c r="AM150" s="5"/>
      <c r="AN150" s="28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33">
        <f t="shared" si="8"/>
        <v>50</v>
      </c>
      <c r="BN150" s="33" t="s">
        <v>38</v>
      </c>
      <c r="BO150" s="28"/>
      <c r="BP150" s="58"/>
    </row>
    <row r="151" spans="1:69" s="9" customFormat="1" ht="22.5">
      <c r="A151" s="25">
        <v>14578</v>
      </c>
      <c r="B151" s="58" t="s">
        <v>286</v>
      </c>
      <c r="C151" s="99" t="s">
        <v>202</v>
      </c>
      <c r="D151" s="99" t="s">
        <v>60</v>
      </c>
      <c r="E151" s="6"/>
      <c r="F151" s="6">
        <v>30</v>
      </c>
      <c r="G151" s="28"/>
      <c r="H151" s="6"/>
      <c r="I151" s="6"/>
      <c r="J151" s="6"/>
      <c r="K151" s="6"/>
      <c r="L151" s="6"/>
      <c r="M151" s="6"/>
      <c r="N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14"/>
      <c r="AE151" s="6"/>
      <c r="AF151" s="6"/>
      <c r="AG151" s="6"/>
      <c r="AH151" s="6"/>
      <c r="AI151" s="6"/>
      <c r="AJ151" s="6"/>
      <c r="AK151" s="6"/>
      <c r="AL151" s="6"/>
      <c r="AM151" s="6"/>
      <c r="AN151" s="28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33">
        <f t="shared" si="8"/>
        <v>30</v>
      </c>
      <c r="BN151" s="33" t="s">
        <v>38</v>
      </c>
      <c r="BO151" s="33"/>
      <c r="BP151" s="55"/>
      <c r="BQ151" s="10"/>
    </row>
    <row r="152" spans="1:68" s="9" customFormat="1" ht="22.5">
      <c r="A152" s="25" t="str">
        <f>"07608"</f>
        <v>07608</v>
      </c>
      <c r="B152" s="58" t="s">
        <v>287</v>
      </c>
      <c r="C152" s="99" t="s">
        <v>217</v>
      </c>
      <c r="D152" s="99" t="str">
        <f>"A/4"</f>
        <v>A/4</v>
      </c>
      <c r="E152" s="6"/>
      <c r="F152" s="6">
        <v>100</v>
      </c>
      <c r="G152" s="6"/>
      <c r="H152" s="28"/>
      <c r="I152" s="6"/>
      <c r="J152" s="6">
        <v>50</v>
      </c>
      <c r="K152" s="6">
        <v>300</v>
      </c>
      <c r="L152" s="6">
        <v>300</v>
      </c>
      <c r="M152" s="6"/>
      <c r="N152" s="6"/>
      <c r="P152" s="6"/>
      <c r="Q152" s="6"/>
      <c r="R152" s="6"/>
      <c r="S152" s="6"/>
      <c r="T152" s="6"/>
      <c r="U152" s="6">
        <v>100</v>
      </c>
      <c r="V152" s="6"/>
      <c r="W152" s="6"/>
      <c r="X152" s="6">
        <v>100</v>
      </c>
      <c r="Y152" s="6">
        <v>200</v>
      </c>
      <c r="Z152" s="6"/>
      <c r="AA152" s="6"/>
      <c r="AB152" s="6"/>
      <c r="AC152" s="6"/>
      <c r="AD152" s="14"/>
      <c r="AE152" s="6"/>
      <c r="AF152" s="6"/>
      <c r="AG152" s="6"/>
      <c r="AH152" s="6"/>
      <c r="AI152" s="6"/>
      <c r="AJ152" s="6"/>
      <c r="AK152" s="6"/>
      <c r="AL152" s="6"/>
      <c r="AM152" s="6"/>
      <c r="AN152" s="28"/>
      <c r="AO152" s="6"/>
      <c r="AP152" s="6"/>
      <c r="AQ152" s="6"/>
      <c r="AR152" s="6"/>
      <c r="AS152" s="6">
        <v>100</v>
      </c>
      <c r="AT152" s="6"/>
      <c r="AU152" s="6"/>
      <c r="AV152" s="6">
        <v>100</v>
      </c>
      <c r="AW152" s="6"/>
      <c r="AX152" s="6"/>
      <c r="AY152" s="6"/>
      <c r="AZ152" s="6">
        <v>100</v>
      </c>
      <c r="BA152" s="6">
        <v>100</v>
      </c>
      <c r="BB152" s="6">
        <v>100</v>
      </c>
      <c r="BC152" s="6"/>
      <c r="BD152" s="6"/>
      <c r="BE152" s="6"/>
      <c r="BF152" s="6"/>
      <c r="BG152" s="6"/>
      <c r="BH152" s="6"/>
      <c r="BI152" s="6">
        <v>200</v>
      </c>
      <c r="BJ152" s="6"/>
      <c r="BK152" s="6"/>
      <c r="BL152" s="6"/>
      <c r="BM152" s="33">
        <f t="shared" si="8"/>
        <v>1850</v>
      </c>
      <c r="BN152" s="33" t="s">
        <v>38</v>
      </c>
      <c r="BO152" s="33"/>
      <c r="BP152" s="55"/>
    </row>
    <row r="153" spans="1:68" s="9" customFormat="1" ht="22.5">
      <c r="A153" s="25">
        <v>14578</v>
      </c>
      <c r="B153" s="58" t="s">
        <v>288</v>
      </c>
      <c r="C153" s="99" t="s">
        <v>201</v>
      </c>
      <c r="D153" s="99" t="s">
        <v>200</v>
      </c>
      <c r="E153" s="6">
        <v>10</v>
      </c>
      <c r="F153" s="6"/>
      <c r="G153" s="6"/>
      <c r="I153" s="6"/>
      <c r="J153" s="6"/>
      <c r="K153" s="6"/>
      <c r="L153" s="6"/>
      <c r="M153" s="6"/>
      <c r="N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14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>
        <v>5</v>
      </c>
      <c r="AY153" s="6">
        <v>5</v>
      </c>
      <c r="AZ153" s="6"/>
      <c r="BA153" s="6"/>
      <c r="BB153" s="6"/>
      <c r="BC153" s="6"/>
      <c r="BD153" s="6"/>
      <c r="BE153" s="6"/>
      <c r="BF153" s="6"/>
      <c r="BG153" s="6"/>
      <c r="BH153" s="6"/>
      <c r="BI153" s="6">
        <v>20</v>
      </c>
      <c r="BJ153" s="6"/>
      <c r="BK153" s="6"/>
      <c r="BL153" s="6"/>
      <c r="BM153" s="33">
        <f t="shared" si="8"/>
        <v>40</v>
      </c>
      <c r="BN153" s="33" t="s">
        <v>38</v>
      </c>
      <c r="BO153" s="33"/>
      <c r="BP153" s="55"/>
    </row>
    <row r="154" spans="1:69" s="10" customFormat="1" ht="22.5">
      <c r="A154" s="25">
        <v>15539</v>
      </c>
      <c r="B154" s="58" t="s">
        <v>289</v>
      </c>
      <c r="C154" s="99" t="s">
        <v>99</v>
      </c>
      <c r="D154" s="99"/>
      <c r="E154" s="5">
        <v>20</v>
      </c>
      <c r="F154" s="5">
        <v>10</v>
      </c>
      <c r="G154" s="5"/>
      <c r="H154" s="28"/>
      <c r="I154" s="5"/>
      <c r="J154" s="5"/>
      <c r="K154" s="5"/>
      <c r="L154" s="5"/>
      <c r="M154" s="5">
        <v>6</v>
      </c>
      <c r="N154" s="5"/>
      <c r="P154" s="5"/>
      <c r="Q154" s="5"/>
      <c r="R154" s="5"/>
      <c r="S154" s="5"/>
      <c r="T154" s="5"/>
      <c r="U154" s="5"/>
      <c r="V154" s="5"/>
      <c r="W154" s="5"/>
      <c r="X154" s="5">
        <v>3</v>
      </c>
      <c r="Y154" s="5"/>
      <c r="Z154" s="5"/>
      <c r="AA154" s="5"/>
      <c r="AB154" s="5"/>
      <c r="AC154" s="5"/>
      <c r="AD154" s="13"/>
      <c r="AE154" s="5"/>
      <c r="AF154" s="5"/>
      <c r="AG154" s="5"/>
      <c r="AH154" s="5"/>
      <c r="AI154" s="5"/>
      <c r="AJ154" s="5"/>
      <c r="AK154" s="5"/>
      <c r="AL154" s="5"/>
      <c r="AM154" s="5"/>
      <c r="AN154" s="28"/>
      <c r="AO154" s="5"/>
      <c r="AP154" s="5"/>
      <c r="AQ154" s="5"/>
      <c r="AR154" s="5"/>
      <c r="AS154" s="5"/>
      <c r="AT154" s="5"/>
      <c r="AU154" s="5"/>
      <c r="AV154" s="5"/>
      <c r="AW154" s="5">
        <v>4</v>
      </c>
      <c r="AX154" s="5"/>
      <c r="AY154" s="5"/>
      <c r="AZ154" s="5"/>
      <c r="BA154" s="5"/>
      <c r="BB154" s="5"/>
      <c r="BC154" s="5"/>
      <c r="BD154" s="5">
        <v>1</v>
      </c>
      <c r="BE154" s="5"/>
      <c r="BF154" s="5"/>
      <c r="BG154" s="5"/>
      <c r="BH154" s="5"/>
      <c r="BI154" s="5">
        <v>3</v>
      </c>
      <c r="BJ154" s="5"/>
      <c r="BK154" s="5"/>
      <c r="BL154" s="5"/>
      <c r="BM154" s="33">
        <f t="shared" si="8"/>
        <v>47</v>
      </c>
      <c r="BN154" s="33" t="s">
        <v>38</v>
      </c>
      <c r="BO154" s="28"/>
      <c r="BP154" s="58"/>
      <c r="BQ154" s="9"/>
    </row>
    <row r="155" spans="1:69" s="10" customFormat="1" ht="11.25">
      <c r="A155" s="25">
        <v>16085</v>
      </c>
      <c r="B155" s="58" t="s">
        <v>290</v>
      </c>
      <c r="C155" s="99" t="s">
        <v>230</v>
      </c>
      <c r="D155" s="99" t="s">
        <v>231</v>
      </c>
      <c r="E155" s="5"/>
      <c r="F155" s="5"/>
      <c r="G155" s="5"/>
      <c r="H155" s="28"/>
      <c r="I155" s="5"/>
      <c r="J155" s="5">
        <v>2</v>
      </c>
      <c r="K155" s="5"/>
      <c r="L155" s="5"/>
      <c r="M155" s="5"/>
      <c r="N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13"/>
      <c r="AE155" s="5"/>
      <c r="AF155" s="5"/>
      <c r="AG155" s="5"/>
      <c r="AH155" s="5"/>
      <c r="AI155" s="5"/>
      <c r="AJ155" s="5"/>
      <c r="AK155" s="5"/>
      <c r="AL155" s="5"/>
      <c r="AM155" s="5"/>
      <c r="AN155" s="28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33">
        <f t="shared" si="8"/>
        <v>2</v>
      </c>
      <c r="BN155" s="33" t="s">
        <v>38</v>
      </c>
      <c r="BO155" s="28"/>
      <c r="BP155" s="58"/>
      <c r="BQ155" s="9"/>
    </row>
    <row r="156" spans="1:68" s="10" customFormat="1" ht="11.25">
      <c r="A156" s="25" t="str">
        <f>"08401"</f>
        <v>08401</v>
      </c>
      <c r="B156" s="58" t="s">
        <v>291</v>
      </c>
      <c r="C156" s="99" t="str">
        <f>"GOLYÓSTOLL (PENAC RB-085 B.)"</f>
        <v>GOLYÓSTOLL (PENAC RB-085 B.)</v>
      </c>
      <c r="D156" s="99" t="s">
        <v>59</v>
      </c>
      <c r="E156" s="5"/>
      <c r="F156" s="5">
        <v>10</v>
      </c>
      <c r="G156" s="5"/>
      <c r="H156" s="28">
        <v>2</v>
      </c>
      <c r="I156" s="5"/>
      <c r="J156" s="5"/>
      <c r="K156" s="5"/>
      <c r="L156" s="5"/>
      <c r="M156" s="5"/>
      <c r="N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13"/>
      <c r="AE156" s="5"/>
      <c r="AF156" s="5"/>
      <c r="AG156" s="5"/>
      <c r="AH156" s="5"/>
      <c r="AI156" s="5"/>
      <c r="AJ156" s="5"/>
      <c r="AK156" s="5"/>
      <c r="AL156" s="5"/>
      <c r="AM156" s="5"/>
      <c r="AN156" s="28"/>
      <c r="AO156" s="5"/>
      <c r="AP156" s="5"/>
      <c r="AQ156" s="5"/>
      <c r="AR156" s="5"/>
      <c r="AS156" s="5"/>
      <c r="AT156" s="5"/>
      <c r="AU156" s="5"/>
      <c r="AV156" s="5"/>
      <c r="AW156" s="5"/>
      <c r="AX156" s="5">
        <v>1</v>
      </c>
      <c r="AY156" s="5">
        <v>1</v>
      </c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33">
        <f t="shared" si="8"/>
        <v>14</v>
      </c>
      <c r="BN156" s="33" t="s">
        <v>38</v>
      </c>
      <c r="BO156" s="28"/>
      <c r="BP156" s="58"/>
    </row>
    <row r="157" spans="1:68" s="9" customFormat="1" ht="22.5" hidden="1">
      <c r="A157" s="35" t="str">
        <f>"13030"</f>
        <v>13030</v>
      </c>
      <c r="B157" s="59"/>
      <c r="C157" s="99" t="str">
        <f>"IRATMEGSEMMISÍTŐ GÉP (FELLOWES)"</f>
        <v>IRATMEGSEMMISÍTŐ GÉP (FELLOWES)</v>
      </c>
      <c r="D157" s="99" t="str">
        <f>"P-35C"</f>
        <v>P-35C</v>
      </c>
      <c r="E157" s="6"/>
      <c r="F157" s="6"/>
      <c r="G157" s="6"/>
      <c r="H157" s="28"/>
      <c r="I157" s="6"/>
      <c r="J157" s="6"/>
      <c r="K157" s="6"/>
      <c r="L157" s="6"/>
      <c r="M157" s="6"/>
      <c r="N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14"/>
      <c r="AE157" s="6"/>
      <c r="AF157" s="6"/>
      <c r="AG157" s="6"/>
      <c r="AH157" s="6"/>
      <c r="AI157" s="6"/>
      <c r="AJ157" s="6"/>
      <c r="AK157" s="6"/>
      <c r="AL157" s="6"/>
      <c r="AM157" s="6"/>
      <c r="AN157" s="28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33">
        <f t="shared" si="8"/>
        <v>0</v>
      </c>
      <c r="BN157" s="33"/>
      <c r="BO157" s="33"/>
      <c r="BP157" s="55"/>
    </row>
    <row r="158" spans="1:68" s="10" customFormat="1" ht="11.25">
      <c r="A158" s="25" t="str">
        <f>"08081"</f>
        <v>08081</v>
      </c>
      <c r="B158" s="58" t="s">
        <v>292</v>
      </c>
      <c r="C158" s="99" t="s">
        <v>130</v>
      </c>
      <c r="D158" s="99" t="s">
        <v>97</v>
      </c>
      <c r="E158" s="5"/>
      <c r="F158" s="5">
        <v>10</v>
      </c>
      <c r="G158" s="5"/>
      <c r="H158" s="28"/>
      <c r="I158" s="5"/>
      <c r="J158" s="5"/>
      <c r="K158" s="5">
        <v>10</v>
      </c>
      <c r="L158" s="5">
        <v>10</v>
      </c>
      <c r="M158" s="5"/>
      <c r="N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>
        <v>2</v>
      </c>
      <c r="AA158" s="5"/>
      <c r="AB158" s="5"/>
      <c r="AC158" s="5"/>
      <c r="AD158" s="13"/>
      <c r="AE158" s="5"/>
      <c r="AF158" s="5"/>
      <c r="AG158" s="5"/>
      <c r="AH158" s="5"/>
      <c r="AI158" s="5"/>
      <c r="AJ158" s="5"/>
      <c r="AK158" s="5"/>
      <c r="AL158" s="5"/>
      <c r="AM158" s="5"/>
      <c r="AN158" s="28"/>
      <c r="AO158" s="5"/>
      <c r="AP158" s="5"/>
      <c r="AQ158" s="5"/>
      <c r="AR158" s="5"/>
      <c r="AS158" s="5"/>
      <c r="AT158" s="5"/>
      <c r="AU158" s="5">
        <v>5</v>
      </c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>
        <v>3</v>
      </c>
      <c r="BJ158" s="5"/>
      <c r="BK158" s="5"/>
      <c r="BL158" s="5"/>
      <c r="BM158" s="33">
        <f t="shared" si="8"/>
        <v>40</v>
      </c>
      <c r="BN158" s="33" t="s">
        <v>38</v>
      </c>
      <c r="BO158" s="28"/>
      <c r="BP158" s="58"/>
    </row>
    <row r="159" spans="1:68" s="10" customFormat="1" ht="11.25">
      <c r="A159" s="25" t="str">
        <f>"07494"</f>
        <v>07494</v>
      </c>
      <c r="B159" s="58" t="s">
        <v>293</v>
      </c>
      <c r="C159" s="99" t="s">
        <v>208</v>
      </c>
      <c r="D159" s="99" t="s">
        <v>97</v>
      </c>
      <c r="E159" s="5">
        <v>20</v>
      </c>
      <c r="F159" s="5"/>
      <c r="G159" s="5">
        <v>20</v>
      </c>
      <c r="H159" s="28">
        <v>8</v>
      </c>
      <c r="I159" s="5"/>
      <c r="J159" s="5">
        <v>36</v>
      </c>
      <c r="K159" s="5"/>
      <c r="L159" s="5"/>
      <c r="M159" s="5">
        <v>2</v>
      </c>
      <c r="N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>
        <v>1</v>
      </c>
      <c r="AA159" s="5"/>
      <c r="AB159" s="5"/>
      <c r="AC159" s="5">
        <v>1</v>
      </c>
      <c r="AD159" s="13"/>
      <c r="AE159" s="5"/>
      <c r="AF159" s="5"/>
      <c r="AG159" s="5"/>
      <c r="AH159" s="5"/>
      <c r="AI159" s="5"/>
      <c r="AJ159" s="5"/>
      <c r="AK159" s="5"/>
      <c r="AL159" s="5"/>
      <c r="AM159" s="5"/>
      <c r="AN159" s="28"/>
      <c r="AO159" s="5"/>
      <c r="AP159" s="5"/>
      <c r="AQ159" s="5"/>
      <c r="AR159" s="5"/>
      <c r="AS159" s="5">
        <v>5</v>
      </c>
      <c r="AT159" s="5"/>
      <c r="AU159" s="5"/>
      <c r="AV159" s="5">
        <v>5</v>
      </c>
      <c r="AW159" s="5"/>
      <c r="AX159" s="5">
        <v>2</v>
      </c>
      <c r="AY159" s="5">
        <v>2</v>
      </c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33">
        <f t="shared" si="8"/>
        <v>102</v>
      </c>
      <c r="BN159" s="33" t="s">
        <v>38</v>
      </c>
      <c r="BO159" s="28"/>
      <c r="BP159" s="58"/>
    </row>
    <row r="160" spans="1:68" s="10" customFormat="1" ht="11.25">
      <c r="A160" s="25" t="str">
        <f>"07494"</f>
        <v>07494</v>
      </c>
      <c r="B160" s="58" t="s">
        <v>294</v>
      </c>
      <c r="C160" s="99" t="s">
        <v>208</v>
      </c>
      <c r="D160" s="99" t="s">
        <v>98</v>
      </c>
      <c r="E160" s="5"/>
      <c r="F160" s="5"/>
      <c r="G160" s="5"/>
      <c r="H160" s="28"/>
      <c r="I160" s="5"/>
      <c r="J160" s="5"/>
      <c r="K160" s="5"/>
      <c r="L160" s="5"/>
      <c r="M160" s="5"/>
      <c r="N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13"/>
      <c r="AE160" s="5"/>
      <c r="AF160" s="5"/>
      <c r="AG160" s="5"/>
      <c r="AH160" s="5"/>
      <c r="AI160" s="5"/>
      <c r="AJ160" s="5"/>
      <c r="AK160" s="5"/>
      <c r="AL160" s="5"/>
      <c r="AM160" s="5"/>
      <c r="AN160" s="28"/>
      <c r="AO160" s="5"/>
      <c r="AP160" s="5"/>
      <c r="AQ160" s="5"/>
      <c r="AR160" s="5"/>
      <c r="AS160" s="5">
        <v>1</v>
      </c>
      <c r="AT160" s="5"/>
      <c r="AU160" s="5"/>
      <c r="AV160" s="5"/>
      <c r="AW160" s="5">
        <v>1</v>
      </c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33">
        <f t="shared" si="8"/>
        <v>2</v>
      </c>
      <c r="BN160" s="33" t="s">
        <v>38</v>
      </c>
      <c r="BO160" s="28"/>
      <c r="BP160" s="58"/>
    </row>
    <row r="161" spans="1:68" s="10" customFormat="1" ht="11.25">
      <c r="A161" s="25" t="str">
        <f>"07441"</f>
        <v>07441</v>
      </c>
      <c r="B161" s="58" t="s">
        <v>295</v>
      </c>
      <c r="C161" s="99" t="str">
        <f>"GOLYÓSTOLL (ZEBRA F-301)"</f>
        <v>GOLYÓSTOLL (ZEBRA F-301)</v>
      </c>
      <c r="D161" s="99" t="s">
        <v>97</v>
      </c>
      <c r="E161" s="5">
        <v>5</v>
      </c>
      <c r="F161" s="5"/>
      <c r="G161" s="5"/>
      <c r="H161" s="28"/>
      <c r="I161" s="5"/>
      <c r="J161" s="5"/>
      <c r="K161" s="5">
        <v>5</v>
      </c>
      <c r="L161" s="5">
        <v>5</v>
      </c>
      <c r="M161" s="5"/>
      <c r="N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v>2</v>
      </c>
      <c r="Z161" s="5"/>
      <c r="AA161" s="5"/>
      <c r="AB161" s="5"/>
      <c r="AC161" s="5"/>
      <c r="AD161" s="13"/>
      <c r="AE161" s="5"/>
      <c r="AF161" s="5"/>
      <c r="AG161" s="5"/>
      <c r="AH161" s="5"/>
      <c r="AI161" s="5"/>
      <c r="AJ161" s="5"/>
      <c r="AK161" s="5"/>
      <c r="AL161" s="5"/>
      <c r="AM161" s="5"/>
      <c r="AN161" s="28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>
        <v>1</v>
      </c>
      <c r="BC161" s="5">
        <v>1</v>
      </c>
      <c r="BD161" s="5"/>
      <c r="BE161" s="5"/>
      <c r="BF161" s="5"/>
      <c r="BG161" s="5"/>
      <c r="BH161" s="5"/>
      <c r="BI161" s="5"/>
      <c r="BJ161" s="5"/>
      <c r="BK161" s="5"/>
      <c r="BL161" s="5"/>
      <c r="BM161" s="33">
        <f t="shared" si="8"/>
        <v>19</v>
      </c>
      <c r="BN161" s="33" t="s">
        <v>38</v>
      </c>
      <c r="BO161" s="28"/>
      <c r="BP161" s="58"/>
    </row>
    <row r="162" spans="1:68" s="10" customFormat="1" ht="11.25">
      <c r="A162" s="25" t="str">
        <f>"07441"</f>
        <v>07441</v>
      </c>
      <c r="B162" s="58" t="s">
        <v>296</v>
      </c>
      <c r="C162" s="99" t="str">
        <f>"GOLYÓSTOLL (ZEBRA F-301)"</f>
        <v>GOLYÓSTOLL (ZEBRA F-301)</v>
      </c>
      <c r="D162" s="99" t="s">
        <v>98</v>
      </c>
      <c r="E162" s="5"/>
      <c r="F162" s="5"/>
      <c r="G162" s="5"/>
      <c r="H162" s="28"/>
      <c r="I162" s="5"/>
      <c r="J162" s="5"/>
      <c r="K162" s="5">
        <v>1</v>
      </c>
      <c r="L162" s="5"/>
      <c r="M162" s="5"/>
      <c r="N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13"/>
      <c r="AE162" s="5"/>
      <c r="AF162" s="5"/>
      <c r="AG162" s="5"/>
      <c r="AH162" s="5"/>
      <c r="AI162" s="5"/>
      <c r="AJ162" s="5"/>
      <c r="AK162" s="5"/>
      <c r="AL162" s="5"/>
      <c r="AM162" s="5"/>
      <c r="AN162" s="28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33">
        <f t="shared" si="8"/>
        <v>1</v>
      </c>
      <c r="BN162" s="33" t="s">
        <v>38</v>
      </c>
      <c r="BO162" s="28"/>
      <c r="BP162" s="58"/>
    </row>
    <row r="163" spans="1:68" s="10" customFormat="1" ht="22.5">
      <c r="A163" s="25" t="str">
        <f>"07440"</f>
        <v>07440</v>
      </c>
      <c r="B163" s="58" t="s">
        <v>297</v>
      </c>
      <c r="C163" s="99" t="str">
        <f>"GOLYÓSTOLL (ZEBRA SUPER FINE)"</f>
        <v>GOLYÓSTOLL (ZEBRA SUPER FINE)</v>
      </c>
      <c r="D163" s="99" t="s">
        <v>129</v>
      </c>
      <c r="E163" s="5"/>
      <c r="F163" s="5"/>
      <c r="G163" s="5">
        <v>5</v>
      </c>
      <c r="H163" s="28"/>
      <c r="I163" s="5"/>
      <c r="J163" s="5"/>
      <c r="K163" s="5"/>
      <c r="L163" s="5"/>
      <c r="M163" s="5"/>
      <c r="N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>
        <v>1</v>
      </c>
      <c r="AB163" s="5"/>
      <c r="AC163" s="5"/>
      <c r="AD163" s="13"/>
      <c r="AE163" s="5"/>
      <c r="AF163" s="5"/>
      <c r="AG163" s="5"/>
      <c r="AH163" s="5"/>
      <c r="AI163" s="5"/>
      <c r="AJ163" s="5"/>
      <c r="AK163" s="5"/>
      <c r="AL163" s="5"/>
      <c r="AM163" s="5"/>
      <c r="AN163" s="28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>
        <v>2</v>
      </c>
      <c r="BB163" s="5"/>
      <c r="BC163" s="5"/>
      <c r="BD163" s="5"/>
      <c r="BE163" s="5"/>
      <c r="BF163" s="5"/>
      <c r="BG163" s="5"/>
      <c r="BH163" s="5"/>
      <c r="BI163" s="5"/>
      <c r="BJ163" s="5">
        <v>2</v>
      </c>
      <c r="BK163" s="5"/>
      <c r="BL163" s="5"/>
      <c r="BM163" s="33">
        <f t="shared" si="8"/>
        <v>10</v>
      </c>
      <c r="BN163" s="33" t="s">
        <v>38</v>
      </c>
      <c r="BO163" s="28"/>
      <c r="BP163" s="58"/>
    </row>
    <row r="164" spans="1:68" s="10" customFormat="1" ht="22.5">
      <c r="A164" s="25" t="str">
        <f>"07440"</f>
        <v>07440</v>
      </c>
      <c r="B164" s="58">
        <v>57</v>
      </c>
      <c r="C164" s="99" t="str">
        <f>"GOLYÓSTOLL (ZEBRA SUPER FINE)"</f>
        <v>GOLYÓSTOLL (ZEBRA SUPER FINE)</v>
      </c>
      <c r="D164" s="99" t="s">
        <v>128</v>
      </c>
      <c r="E164" s="5"/>
      <c r="F164" s="5"/>
      <c r="G164" s="5"/>
      <c r="H164" s="28"/>
      <c r="I164" s="5"/>
      <c r="J164" s="5"/>
      <c r="K164" s="5"/>
      <c r="L164" s="5"/>
      <c r="M164" s="5"/>
      <c r="N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>
        <v>1</v>
      </c>
      <c r="AB164" s="5"/>
      <c r="AC164" s="5"/>
      <c r="AD164" s="13"/>
      <c r="AE164" s="5"/>
      <c r="AF164" s="5"/>
      <c r="AG164" s="5"/>
      <c r="AH164" s="5"/>
      <c r="AI164" s="5"/>
      <c r="AJ164" s="5"/>
      <c r="AK164" s="5"/>
      <c r="AL164" s="5"/>
      <c r="AM164" s="5"/>
      <c r="AN164" s="28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>
        <v>1</v>
      </c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33">
        <f t="shared" si="8"/>
        <v>2</v>
      </c>
      <c r="BN164" s="33" t="s">
        <v>38</v>
      </c>
      <c r="BO164" s="28"/>
      <c r="BP164" s="58"/>
    </row>
    <row r="165" spans="1:68" s="9" customFormat="1" ht="11.25" hidden="1">
      <c r="A165" s="25" t="str">
        <f>"07612"</f>
        <v>07612</v>
      </c>
      <c r="B165" s="58"/>
      <c r="C165" s="99" t="str">
        <f>"IRATRENDEZŐ (S-70)"</f>
        <v>IRATRENDEZŐ (S-70)</v>
      </c>
      <c r="D165" s="99" t="str">
        <f>"A/4 (7,5/5CM)"</f>
        <v>A/4 (7,5/5CM)</v>
      </c>
      <c r="E165" s="6"/>
      <c r="F165" s="6"/>
      <c r="G165" s="6"/>
      <c r="H165" s="28"/>
      <c r="I165" s="6"/>
      <c r="J165" s="6"/>
      <c r="K165" s="6"/>
      <c r="L165" s="6"/>
      <c r="M165" s="6"/>
      <c r="N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14"/>
      <c r="AE165" s="6"/>
      <c r="AF165" s="6"/>
      <c r="AG165" s="6"/>
      <c r="AH165" s="6"/>
      <c r="AI165" s="6"/>
      <c r="AJ165" s="6"/>
      <c r="AK165" s="6"/>
      <c r="AL165" s="6"/>
      <c r="AM165" s="6"/>
      <c r="AN165" s="28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33">
        <f t="shared" si="8"/>
        <v>0</v>
      </c>
      <c r="BN165" s="33" t="s">
        <v>38</v>
      </c>
      <c r="BO165" s="33"/>
      <c r="BP165" s="55"/>
    </row>
    <row r="166" spans="1:68" s="10" customFormat="1" ht="22.5">
      <c r="A166" s="25" t="str">
        <f>"07612"</f>
        <v>07612</v>
      </c>
      <c r="B166" s="58" t="s">
        <v>298</v>
      </c>
      <c r="C166" s="99" t="str">
        <f>"GOLYÓSTOLL BETÉT (RUGÓS F-0,7-F301)"</f>
        <v>GOLYÓSTOLL BETÉT (RUGÓS F-0,7-F301)</v>
      </c>
      <c r="D166" s="99" t="s">
        <v>218</v>
      </c>
      <c r="E166" s="5"/>
      <c r="F166" s="5"/>
      <c r="G166" s="5"/>
      <c r="H166" s="28"/>
      <c r="I166" s="5"/>
      <c r="J166" s="5"/>
      <c r="K166" s="5"/>
      <c r="L166" s="5"/>
      <c r="M166" s="5"/>
      <c r="N166" s="5"/>
      <c r="P166" s="5"/>
      <c r="Q166" s="5"/>
      <c r="R166" s="5"/>
      <c r="S166" s="5"/>
      <c r="T166" s="5"/>
      <c r="U166" s="5"/>
      <c r="V166" s="5"/>
      <c r="W166" s="5"/>
      <c r="X166" s="5">
        <v>3</v>
      </c>
      <c r="Y166" s="5"/>
      <c r="Z166" s="5"/>
      <c r="AA166" s="5"/>
      <c r="AB166" s="5"/>
      <c r="AC166" s="5"/>
      <c r="AD166" s="13"/>
      <c r="AE166" s="5"/>
      <c r="AF166" s="5"/>
      <c r="AG166" s="5"/>
      <c r="AH166" s="5"/>
      <c r="AI166" s="5"/>
      <c r="AJ166" s="5"/>
      <c r="AK166" s="5"/>
      <c r="AL166" s="5"/>
      <c r="AM166" s="5"/>
      <c r="AN166" s="28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33">
        <f t="shared" si="8"/>
        <v>3</v>
      </c>
      <c r="BN166" s="33" t="s">
        <v>38</v>
      </c>
      <c r="BO166" s="28"/>
      <c r="BP166" s="58"/>
    </row>
    <row r="167" spans="1:68" s="9" customFormat="1" ht="11.25">
      <c r="A167" s="25" t="str">
        <f>"09749"</f>
        <v>09749</v>
      </c>
      <c r="B167" s="58" t="s">
        <v>299</v>
      </c>
      <c r="C167" s="100" t="s">
        <v>209</v>
      </c>
      <c r="D167" s="100" t="s">
        <v>210</v>
      </c>
      <c r="E167" s="6"/>
      <c r="F167" s="6"/>
      <c r="G167" s="6"/>
      <c r="I167" s="6"/>
      <c r="J167" s="6"/>
      <c r="K167" s="6">
        <v>2</v>
      </c>
      <c r="L167" s="6">
        <v>2</v>
      </c>
      <c r="M167" s="6"/>
      <c r="N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14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>
        <v>1</v>
      </c>
      <c r="AT167" s="6"/>
      <c r="AU167" s="6"/>
      <c r="AV167" s="6"/>
      <c r="AW167" s="6">
        <v>2</v>
      </c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33">
        <f t="shared" si="8"/>
        <v>7</v>
      </c>
      <c r="BN167" s="33" t="s">
        <v>38</v>
      </c>
      <c r="BO167" s="33"/>
      <c r="BP167" s="55"/>
    </row>
    <row r="168" spans="1:68" s="9" customFormat="1" ht="22.5" hidden="1">
      <c r="A168" s="25" t="str">
        <f>"07489"</f>
        <v>07489</v>
      </c>
      <c r="B168" s="58"/>
      <c r="C168" s="99" t="s">
        <v>64</v>
      </c>
      <c r="D168" s="99" t="str">
        <f>"A/4"</f>
        <v>A/4</v>
      </c>
      <c r="E168" s="6"/>
      <c r="F168" s="6"/>
      <c r="G168" s="6"/>
      <c r="H168" s="28"/>
      <c r="I168" s="6"/>
      <c r="J168" s="6"/>
      <c r="K168" s="6"/>
      <c r="L168" s="6"/>
      <c r="M168" s="6"/>
      <c r="N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14"/>
      <c r="AE168" s="6"/>
      <c r="AF168" s="6"/>
      <c r="AG168" s="6"/>
      <c r="AH168" s="6"/>
      <c r="AI168" s="6"/>
      <c r="AJ168" s="6"/>
      <c r="AK168" s="6"/>
      <c r="AL168" s="6"/>
      <c r="AM168" s="6"/>
      <c r="AN168" s="28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33">
        <f t="shared" si="8"/>
        <v>0</v>
      </c>
      <c r="BN168" s="33" t="s">
        <v>38</v>
      </c>
      <c r="BO168" s="33"/>
      <c r="BP168" s="55"/>
    </row>
    <row r="169" spans="1:68" s="10" customFormat="1" ht="22.5">
      <c r="A169" s="25" t="str">
        <f>"07488"</f>
        <v>07488</v>
      </c>
      <c r="B169" s="58" t="s">
        <v>300</v>
      </c>
      <c r="C169" s="99" t="str">
        <f>"HIBAJAVÍTÓ ROLLER"</f>
        <v>HIBAJAVÍTÓ ROLLER</v>
      </c>
      <c r="D169" s="99" t="s">
        <v>236</v>
      </c>
      <c r="E169" s="5">
        <v>3</v>
      </c>
      <c r="F169" s="5"/>
      <c r="G169" s="5"/>
      <c r="H169" s="28"/>
      <c r="I169" s="5"/>
      <c r="J169" s="5">
        <v>4</v>
      </c>
      <c r="K169" s="5">
        <v>3</v>
      </c>
      <c r="L169" s="5">
        <v>3</v>
      </c>
      <c r="M169" s="5">
        <v>2</v>
      </c>
      <c r="N169" s="5"/>
      <c r="P169" s="5"/>
      <c r="Q169" s="5"/>
      <c r="R169" s="5"/>
      <c r="S169" s="5"/>
      <c r="T169" s="5"/>
      <c r="U169" s="5">
        <v>2</v>
      </c>
      <c r="V169" s="5"/>
      <c r="W169" s="5"/>
      <c r="X169" s="5"/>
      <c r="Y169" s="5">
        <v>2</v>
      </c>
      <c r="Z169" s="5"/>
      <c r="AA169" s="5"/>
      <c r="AB169" s="5"/>
      <c r="AC169" s="5"/>
      <c r="AD169" s="13"/>
      <c r="AE169" s="5"/>
      <c r="AF169" s="5"/>
      <c r="AG169" s="5"/>
      <c r="AH169" s="5"/>
      <c r="AI169" s="5"/>
      <c r="AJ169" s="5"/>
      <c r="AK169" s="5"/>
      <c r="AL169" s="5"/>
      <c r="AM169" s="5"/>
      <c r="AN169" s="28"/>
      <c r="AO169" s="5"/>
      <c r="AP169" s="5"/>
      <c r="AQ169" s="5"/>
      <c r="AR169" s="5"/>
      <c r="AS169" s="5">
        <v>1</v>
      </c>
      <c r="AT169" s="5"/>
      <c r="AU169" s="5"/>
      <c r="AV169" s="5">
        <v>1</v>
      </c>
      <c r="AW169" s="5">
        <v>1</v>
      </c>
      <c r="AX169" s="5">
        <v>1</v>
      </c>
      <c r="AY169" s="5">
        <v>1</v>
      </c>
      <c r="AZ169" s="5"/>
      <c r="BA169" s="5">
        <v>3</v>
      </c>
      <c r="BB169" s="5">
        <v>1</v>
      </c>
      <c r="BC169" s="5">
        <v>1</v>
      </c>
      <c r="BD169" s="5">
        <v>1</v>
      </c>
      <c r="BE169" s="5"/>
      <c r="BF169" s="5">
        <v>1</v>
      </c>
      <c r="BG169" s="5"/>
      <c r="BH169" s="5"/>
      <c r="BI169" s="5">
        <v>2</v>
      </c>
      <c r="BJ169" s="5"/>
      <c r="BK169" s="5"/>
      <c r="BL169" s="5"/>
      <c r="BM169" s="33">
        <f t="shared" si="8"/>
        <v>33</v>
      </c>
      <c r="BN169" s="33" t="s">
        <v>38</v>
      </c>
      <c r="BO169" s="28"/>
      <c r="BP169" s="58"/>
    </row>
    <row r="170" spans="1:68" s="10" customFormat="1" ht="11.25">
      <c r="A170" s="25">
        <v>15325</v>
      </c>
      <c r="B170" s="58" t="s">
        <v>301</v>
      </c>
      <c r="C170" s="99" t="s">
        <v>104</v>
      </c>
      <c r="D170" s="99" t="s">
        <v>105</v>
      </c>
      <c r="E170" s="5"/>
      <c r="F170" s="5"/>
      <c r="G170" s="5"/>
      <c r="H170" s="28"/>
      <c r="I170" s="5"/>
      <c r="J170" s="5"/>
      <c r="K170" s="5">
        <v>2</v>
      </c>
      <c r="L170" s="5">
        <v>2</v>
      </c>
      <c r="M170" s="5"/>
      <c r="N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13"/>
      <c r="AE170" s="5"/>
      <c r="AF170" s="5"/>
      <c r="AG170" s="5"/>
      <c r="AH170" s="5"/>
      <c r="AI170" s="5"/>
      <c r="AJ170" s="5"/>
      <c r="AK170" s="5"/>
      <c r="AL170" s="5"/>
      <c r="AM170" s="5"/>
      <c r="AN170" s="28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33">
        <f t="shared" si="8"/>
        <v>4</v>
      </c>
      <c r="BN170" s="33" t="s">
        <v>38</v>
      </c>
      <c r="BO170" s="28"/>
      <c r="BP170" s="58"/>
    </row>
    <row r="171" spans="1:68" s="9" customFormat="1" ht="11.25">
      <c r="A171" s="25" t="str">
        <f>"10861"</f>
        <v>10861</v>
      </c>
      <c r="B171" s="58" t="s">
        <v>302</v>
      </c>
      <c r="C171" s="99" t="s">
        <v>77</v>
      </c>
      <c r="D171" s="99" t="s">
        <v>80</v>
      </c>
      <c r="E171" s="6"/>
      <c r="F171" s="6"/>
      <c r="G171" s="6"/>
      <c r="H171" s="28"/>
      <c r="I171" s="6"/>
      <c r="J171" s="6"/>
      <c r="K171" s="6"/>
      <c r="L171" s="6"/>
      <c r="M171" s="6"/>
      <c r="N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14"/>
      <c r="AE171" s="6"/>
      <c r="AF171" s="6"/>
      <c r="AG171" s="6"/>
      <c r="AH171" s="6"/>
      <c r="AI171" s="6"/>
      <c r="AJ171" s="6"/>
      <c r="AK171" s="6"/>
      <c r="AL171" s="6"/>
      <c r="AM171" s="6"/>
      <c r="AN171" s="28"/>
      <c r="AO171" s="6"/>
      <c r="AP171" s="6"/>
      <c r="AQ171" s="6"/>
      <c r="AR171" s="6"/>
      <c r="AS171" s="6">
        <v>10</v>
      </c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33">
        <f t="shared" si="8"/>
        <v>10</v>
      </c>
      <c r="BN171" s="33" t="s">
        <v>38</v>
      </c>
      <c r="BO171" s="33"/>
      <c r="BP171" s="55"/>
    </row>
    <row r="172" spans="1:68" s="9" customFormat="1" ht="11.25" hidden="1">
      <c r="A172" s="25" t="str">
        <f>"09747"</f>
        <v>09747</v>
      </c>
      <c r="B172" s="58"/>
      <c r="C172" s="99" t="str">
        <f>"IRATTÁLCA,MŰA."</f>
        <v>IRATTÁLCA,MŰA.</v>
      </c>
      <c r="D172" s="99"/>
      <c r="E172" s="6"/>
      <c r="F172" s="6"/>
      <c r="G172" s="6"/>
      <c r="H172" s="28"/>
      <c r="I172" s="6"/>
      <c r="J172" s="6"/>
      <c r="K172" s="6"/>
      <c r="L172" s="6"/>
      <c r="M172" s="6"/>
      <c r="N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14"/>
      <c r="AE172" s="6"/>
      <c r="AF172" s="6"/>
      <c r="AG172" s="6"/>
      <c r="AH172" s="6"/>
      <c r="AI172" s="6"/>
      <c r="AJ172" s="6"/>
      <c r="AK172" s="6"/>
      <c r="AL172" s="6"/>
      <c r="AM172" s="6"/>
      <c r="AN172" s="28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33">
        <f t="shared" si="8"/>
        <v>0</v>
      </c>
      <c r="BN172" s="33" t="s">
        <v>38</v>
      </c>
      <c r="BO172" s="33"/>
      <c r="BP172" s="55"/>
    </row>
    <row r="173" spans="1:68" s="9" customFormat="1" ht="11.25" hidden="1">
      <c r="A173" s="25" t="str">
        <f>"13905"</f>
        <v>13905</v>
      </c>
      <c r="B173" s="58"/>
      <c r="C173" s="99" t="str">
        <f>"IRATTARTÓ DOBOZ"</f>
        <v>IRATTARTÓ DOBOZ</v>
      </c>
      <c r="D173" s="99" t="str">
        <f>"5 FIÓKOS"</f>
        <v>5 FIÓKOS</v>
      </c>
      <c r="E173" s="6"/>
      <c r="F173" s="6"/>
      <c r="G173" s="6"/>
      <c r="H173" s="28"/>
      <c r="I173" s="6"/>
      <c r="J173" s="6"/>
      <c r="K173" s="6"/>
      <c r="L173" s="6"/>
      <c r="M173" s="6"/>
      <c r="N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14"/>
      <c r="AE173" s="6"/>
      <c r="AF173" s="6"/>
      <c r="AG173" s="6"/>
      <c r="AH173" s="6"/>
      <c r="AI173" s="6"/>
      <c r="AJ173" s="6"/>
      <c r="AK173" s="6"/>
      <c r="AL173" s="6"/>
      <c r="AM173" s="6"/>
      <c r="AN173" s="28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33">
        <f t="shared" si="8"/>
        <v>0</v>
      </c>
      <c r="BN173" s="33" t="s">
        <v>38</v>
      </c>
      <c r="BO173" s="33"/>
      <c r="BP173" s="55"/>
    </row>
    <row r="174" spans="1:68" s="9" customFormat="1" ht="11.25" hidden="1">
      <c r="A174" s="25" t="str">
        <f>"12391"</f>
        <v>12391</v>
      </c>
      <c r="B174" s="58"/>
      <c r="C174" s="99" t="str">
        <f>"IRATTARTÓ DOBOZ"</f>
        <v>IRATTARTÓ DOBOZ</v>
      </c>
      <c r="D174" s="99" t="str">
        <f>"ESSELTE 5 FIÓKOS"</f>
        <v>ESSELTE 5 FIÓKOS</v>
      </c>
      <c r="E174" s="6"/>
      <c r="F174" s="6"/>
      <c r="G174" s="6"/>
      <c r="H174" s="28"/>
      <c r="I174" s="6"/>
      <c r="J174" s="6"/>
      <c r="K174" s="6"/>
      <c r="L174" s="6"/>
      <c r="M174" s="6"/>
      <c r="N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14"/>
      <c r="AE174" s="6"/>
      <c r="AF174" s="6"/>
      <c r="AG174" s="6"/>
      <c r="AH174" s="6"/>
      <c r="AI174" s="6"/>
      <c r="AJ174" s="6"/>
      <c r="AK174" s="6"/>
      <c r="AL174" s="6"/>
      <c r="AM174" s="6"/>
      <c r="AN174" s="28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33">
        <f t="shared" si="8"/>
        <v>0</v>
      </c>
      <c r="BN174" s="33" t="s">
        <v>38</v>
      </c>
      <c r="BO174" s="33"/>
      <c r="BP174" s="55"/>
    </row>
    <row r="175" spans="1:68" s="9" customFormat="1" ht="11.25" hidden="1">
      <c r="A175" s="25" t="str">
        <f>"10393"</f>
        <v>10393</v>
      </c>
      <c r="B175" s="58"/>
      <c r="C175" s="99" t="str">
        <f>"IRATTARTÓ DOBOZ (MŰANYAG)"</f>
        <v>IRATTARTÓ DOBOZ (MŰANYAG)</v>
      </c>
      <c r="D175" s="99" t="str">
        <f>"4 FIÓKOS"</f>
        <v>4 FIÓKOS</v>
      </c>
      <c r="E175" s="6"/>
      <c r="F175" s="6"/>
      <c r="G175" s="6"/>
      <c r="H175" s="28"/>
      <c r="I175" s="6"/>
      <c r="J175" s="6"/>
      <c r="K175" s="6"/>
      <c r="L175" s="6"/>
      <c r="M175" s="6"/>
      <c r="N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14"/>
      <c r="AE175" s="6"/>
      <c r="AF175" s="6"/>
      <c r="AG175" s="6"/>
      <c r="AH175" s="6"/>
      <c r="AI175" s="6"/>
      <c r="AJ175" s="6"/>
      <c r="AK175" s="6"/>
      <c r="AL175" s="6"/>
      <c r="AM175" s="6"/>
      <c r="AN175" s="28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33">
        <f t="shared" si="8"/>
        <v>0</v>
      </c>
      <c r="BN175" s="33" t="s">
        <v>38</v>
      </c>
      <c r="BO175" s="33"/>
      <c r="BP175" s="55"/>
    </row>
    <row r="176" spans="1:68" s="9" customFormat="1" ht="11.25" hidden="1">
      <c r="A176" s="25" t="str">
        <f>"10278"</f>
        <v>10278</v>
      </c>
      <c r="B176" s="58"/>
      <c r="C176" s="99" t="str">
        <f>"IRATTARTÓ DOBOZ (MŰANYAG)"</f>
        <v>IRATTARTÓ DOBOZ (MŰANYAG)</v>
      </c>
      <c r="D176" s="99" t="str">
        <f>"6 FIÓKOS"</f>
        <v>6 FIÓKOS</v>
      </c>
      <c r="E176" s="6"/>
      <c r="F176" s="6"/>
      <c r="G176" s="6"/>
      <c r="H176" s="28"/>
      <c r="I176" s="6"/>
      <c r="J176" s="6"/>
      <c r="K176" s="6"/>
      <c r="L176" s="6"/>
      <c r="M176" s="6"/>
      <c r="N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14"/>
      <c r="AE176" s="6"/>
      <c r="AF176" s="6"/>
      <c r="AG176" s="6"/>
      <c r="AH176" s="6"/>
      <c r="AI176" s="6"/>
      <c r="AJ176" s="6"/>
      <c r="AK176" s="6"/>
      <c r="AL176" s="6"/>
      <c r="AM176" s="6"/>
      <c r="AN176" s="28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33">
        <f t="shared" si="8"/>
        <v>0</v>
      </c>
      <c r="BN176" s="33" t="s">
        <v>38</v>
      </c>
      <c r="BO176" s="33"/>
      <c r="BP176" s="55"/>
    </row>
    <row r="177" spans="1:68" s="9" customFormat="1" ht="11.25" hidden="1">
      <c r="A177" s="25" t="str">
        <f>"07606"</f>
        <v>07606</v>
      </c>
      <c r="B177" s="58"/>
      <c r="C177" s="99" t="str">
        <f>"IRATTARTÓ MAPPA (GUMIS)"</f>
        <v>IRATTARTÓ MAPPA (GUMIS)</v>
      </c>
      <c r="D177" s="99" t="str">
        <f aca="true" t="shared" si="9" ref="D177:D182">"A/4"</f>
        <v>A/4</v>
      </c>
      <c r="E177" s="6"/>
      <c r="F177" s="6"/>
      <c r="G177" s="6"/>
      <c r="H177" s="28"/>
      <c r="I177" s="6"/>
      <c r="J177" s="6"/>
      <c r="K177" s="6"/>
      <c r="L177" s="6"/>
      <c r="M177" s="6"/>
      <c r="N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14"/>
      <c r="AE177" s="6"/>
      <c r="AF177" s="6"/>
      <c r="AG177" s="6"/>
      <c r="AH177" s="6"/>
      <c r="AI177" s="6"/>
      <c r="AJ177" s="6"/>
      <c r="AK177" s="6"/>
      <c r="AL177" s="6"/>
      <c r="AM177" s="6"/>
      <c r="AN177" s="28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33">
        <f t="shared" si="8"/>
        <v>0</v>
      </c>
      <c r="BN177" s="33" t="s">
        <v>38</v>
      </c>
      <c r="BO177" s="33"/>
      <c r="BP177" s="55"/>
    </row>
    <row r="178" spans="1:68" s="9" customFormat="1" ht="22.5" hidden="1">
      <c r="A178" s="25" t="str">
        <f>"07492"</f>
        <v>07492</v>
      </c>
      <c r="B178" s="58"/>
      <c r="C178" s="99" t="str">
        <f>"IRATTARTÓ MAPPA (GUMIS-SZÉLES)"</f>
        <v>IRATTARTÓ MAPPA (GUMIS-SZÉLES)</v>
      </c>
      <c r="D178" s="99" t="str">
        <f t="shared" si="9"/>
        <v>A/4</v>
      </c>
      <c r="E178" s="6"/>
      <c r="F178" s="6"/>
      <c r="G178" s="6"/>
      <c r="H178" s="28"/>
      <c r="I178" s="6"/>
      <c r="J178" s="6"/>
      <c r="K178" s="6"/>
      <c r="L178" s="6"/>
      <c r="M178" s="6"/>
      <c r="N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14"/>
      <c r="AE178" s="6"/>
      <c r="AF178" s="6"/>
      <c r="AG178" s="6"/>
      <c r="AH178" s="6"/>
      <c r="AI178" s="6"/>
      <c r="AJ178" s="6"/>
      <c r="AK178" s="6"/>
      <c r="AL178" s="6"/>
      <c r="AM178" s="6"/>
      <c r="AN178" s="28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33">
        <f t="shared" si="8"/>
        <v>0</v>
      </c>
      <c r="BN178" s="33" t="s">
        <v>38</v>
      </c>
      <c r="BO178" s="33"/>
      <c r="BP178" s="55"/>
    </row>
    <row r="179" spans="1:68" s="9" customFormat="1" ht="11.25" hidden="1">
      <c r="A179" s="25" t="str">
        <f>"07748"</f>
        <v>07748</v>
      </c>
      <c r="B179" s="58"/>
      <c r="C179" s="99" t="str">
        <f>"IRATTARTÓ MAPPA (PATENTOS)"</f>
        <v>IRATTARTÓ MAPPA (PATENTOS)</v>
      </c>
      <c r="D179" s="99" t="str">
        <f t="shared" si="9"/>
        <v>A/4</v>
      </c>
      <c r="E179" s="6"/>
      <c r="F179" s="6"/>
      <c r="G179" s="6"/>
      <c r="H179" s="28"/>
      <c r="I179" s="6"/>
      <c r="J179" s="6"/>
      <c r="K179" s="6"/>
      <c r="L179" s="6"/>
      <c r="M179" s="6"/>
      <c r="N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14"/>
      <c r="AE179" s="6"/>
      <c r="AF179" s="6"/>
      <c r="AG179" s="6"/>
      <c r="AH179" s="6"/>
      <c r="AI179" s="6"/>
      <c r="AJ179" s="6"/>
      <c r="AK179" s="6"/>
      <c r="AL179" s="6"/>
      <c r="AM179" s="6"/>
      <c r="AN179" s="28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33">
        <f t="shared" si="8"/>
        <v>0</v>
      </c>
      <c r="BN179" s="33" t="s">
        <v>38</v>
      </c>
      <c r="BO179" s="33"/>
      <c r="BP179" s="55"/>
    </row>
    <row r="180" spans="1:68" s="9" customFormat="1" ht="22.5" hidden="1">
      <c r="A180" s="25" t="str">
        <f>"08083"</f>
        <v>08083</v>
      </c>
      <c r="B180" s="58"/>
      <c r="C180" s="99" t="str">
        <f>"IRATTARTÓ MAPPA (VILLÁMZÁRAS)"</f>
        <v>IRATTARTÓ MAPPA (VILLÁMZÁRAS)</v>
      </c>
      <c r="D180" s="99" t="str">
        <f t="shared" si="9"/>
        <v>A/4</v>
      </c>
      <c r="E180" s="6"/>
      <c r="F180" s="6"/>
      <c r="G180" s="6"/>
      <c r="H180" s="28"/>
      <c r="I180" s="6"/>
      <c r="J180" s="6"/>
      <c r="K180" s="6"/>
      <c r="L180" s="6"/>
      <c r="M180" s="6"/>
      <c r="N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14"/>
      <c r="AE180" s="6"/>
      <c r="AF180" s="6"/>
      <c r="AG180" s="6"/>
      <c r="AH180" s="6"/>
      <c r="AI180" s="6"/>
      <c r="AJ180" s="6"/>
      <c r="AK180" s="6"/>
      <c r="AL180" s="6"/>
      <c r="AM180" s="6"/>
      <c r="AN180" s="28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33">
        <f t="shared" si="8"/>
        <v>0</v>
      </c>
      <c r="BN180" s="33" t="s">
        <v>38</v>
      </c>
      <c r="BO180" s="33"/>
      <c r="BP180" s="55"/>
    </row>
    <row r="181" spans="1:68" s="9" customFormat="1" ht="11.25" hidden="1">
      <c r="A181" s="25" t="str">
        <f>"07763"</f>
        <v>07763</v>
      </c>
      <c r="B181" s="58"/>
      <c r="C181" s="99" t="str">
        <f>"IRATTARTÓ TASAK"</f>
        <v>IRATTARTÓ TASAK</v>
      </c>
      <c r="D181" s="99" t="str">
        <f t="shared" si="9"/>
        <v>A/4</v>
      </c>
      <c r="E181" s="6"/>
      <c r="F181" s="6"/>
      <c r="G181" s="6"/>
      <c r="H181" s="28"/>
      <c r="I181" s="6"/>
      <c r="J181" s="6"/>
      <c r="K181" s="6"/>
      <c r="L181" s="6"/>
      <c r="M181" s="6"/>
      <c r="N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14"/>
      <c r="AE181" s="6"/>
      <c r="AF181" s="6"/>
      <c r="AG181" s="6"/>
      <c r="AH181" s="6"/>
      <c r="AI181" s="6"/>
      <c r="AJ181" s="6"/>
      <c r="AK181" s="6"/>
      <c r="AL181" s="6"/>
      <c r="AM181" s="6"/>
      <c r="AN181" s="28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33">
        <f t="shared" si="8"/>
        <v>0</v>
      </c>
      <c r="BN181" s="33" t="s">
        <v>38</v>
      </c>
      <c r="BO181" s="33"/>
      <c r="BP181" s="55"/>
    </row>
    <row r="182" spans="1:68" s="9" customFormat="1" ht="11.25" hidden="1">
      <c r="A182" s="25" t="str">
        <f>"07762"</f>
        <v>07762</v>
      </c>
      <c r="B182" s="58"/>
      <c r="C182" s="99" t="str">
        <f>"IRATTARTÓ TÁSKA"</f>
        <v>IRATTARTÓ TÁSKA</v>
      </c>
      <c r="D182" s="99" t="str">
        <f t="shared" si="9"/>
        <v>A/4</v>
      </c>
      <c r="E182" s="6"/>
      <c r="F182" s="6"/>
      <c r="G182" s="6"/>
      <c r="H182" s="28"/>
      <c r="I182" s="6"/>
      <c r="J182" s="6"/>
      <c r="K182" s="6"/>
      <c r="L182" s="6"/>
      <c r="M182" s="6"/>
      <c r="N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14"/>
      <c r="AE182" s="6"/>
      <c r="AF182" s="6"/>
      <c r="AG182" s="6"/>
      <c r="AH182" s="6"/>
      <c r="AI182" s="6"/>
      <c r="AJ182" s="6"/>
      <c r="AK182" s="6"/>
      <c r="AL182" s="6"/>
      <c r="AM182" s="6"/>
      <c r="AN182" s="28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33">
        <f t="shared" si="8"/>
        <v>0</v>
      </c>
      <c r="BN182" s="33" t="s">
        <v>38</v>
      </c>
      <c r="BO182" s="33"/>
      <c r="BP182" s="55"/>
    </row>
    <row r="183" spans="1:68" s="9" customFormat="1" ht="11.25" hidden="1">
      <c r="A183" s="25" t="str">
        <f>"09753"</f>
        <v>09753</v>
      </c>
      <c r="B183" s="58"/>
      <c r="C183" s="99" t="str">
        <f>"ÍRÓSZERTARTÓ,FÉM"</f>
        <v>ÍRÓSZERTARTÓ,FÉM</v>
      </c>
      <c r="D183" s="99"/>
      <c r="E183" s="6"/>
      <c r="F183" s="6"/>
      <c r="G183" s="6"/>
      <c r="H183" s="28"/>
      <c r="I183" s="6"/>
      <c r="J183" s="6"/>
      <c r="K183" s="6"/>
      <c r="L183" s="6"/>
      <c r="M183" s="6"/>
      <c r="N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14"/>
      <c r="AE183" s="6"/>
      <c r="AF183" s="6"/>
      <c r="AG183" s="6"/>
      <c r="AH183" s="6"/>
      <c r="AI183" s="6"/>
      <c r="AJ183" s="6"/>
      <c r="AK183" s="6"/>
      <c r="AL183" s="6"/>
      <c r="AM183" s="6"/>
      <c r="AN183" s="28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33">
        <f t="shared" si="8"/>
        <v>0</v>
      </c>
      <c r="BN183" s="33" t="s">
        <v>38</v>
      </c>
      <c r="BO183" s="33"/>
      <c r="BP183" s="55"/>
    </row>
    <row r="184" spans="1:69" s="9" customFormat="1" ht="11.25" hidden="1">
      <c r="A184" s="25" t="str">
        <f>"09751"</f>
        <v>09751</v>
      </c>
      <c r="B184" s="58"/>
      <c r="C184" s="99" t="str">
        <f>"KAPOCSKISZEDŐ BOXER"</f>
        <v>KAPOCSKISZEDŐ BOXER</v>
      </c>
      <c r="D184" s="99"/>
      <c r="E184" s="6"/>
      <c r="F184" s="6"/>
      <c r="G184" s="6"/>
      <c r="H184" s="28"/>
      <c r="I184" s="6"/>
      <c r="J184" s="6"/>
      <c r="K184" s="6"/>
      <c r="L184" s="6"/>
      <c r="M184" s="6"/>
      <c r="N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14"/>
      <c r="AE184" s="6"/>
      <c r="AF184" s="6"/>
      <c r="AG184" s="6"/>
      <c r="AH184" s="6"/>
      <c r="AI184" s="6"/>
      <c r="AJ184" s="6"/>
      <c r="AK184" s="6"/>
      <c r="AL184" s="6"/>
      <c r="AM184" s="6"/>
      <c r="AN184" s="28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33">
        <f t="shared" si="8"/>
        <v>0</v>
      </c>
      <c r="BN184" s="33" t="s">
        <v>38</v>
      </c>
      <c r="BO184" s="33"/>
      <c r="BP184" s="55"/>
      <c r="BQ184" s="10"/>
    </row>
    <row r="185" spans="1:68" s="10" customFormat="1" ht="11.25" hidden="1">
      <c r="A185" s="25" t="str">
        <f>"08377"</f>
        <v>08377</v>
      </c>
      <c r="B185" s="58"/>
      <c r="C185" s="99" t="str">
        <f>"KÉSZPÉNZÁTUTALÁSI MEGBÍZÁS"</f>
        <v>KÉSZPÉNZÁTUTALÁSI MEGBÍZÁS</v>
      </c>
      <c r="D185" s="99"/>
      <c r="E185" s="5"/>
      <c r="F185" s="5"/>
      <c r="G185" s="5"/>
      <c r="H185" s="28"/>
      <c r="I185" s="5"/>
      <c r="J185" s="5"/>
      <c r="K185" s="5"/>
      <c r="L185" s="5"/>
      <c r="M185" s="5"/>
      <c r="N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13"/>
      <c r="AE185" s="5"/>
      <c r="AF185" s="5"/>
      <c r="AG185" s="5"/>
      <c r="AH185" s="5"/>
      <c r="AI185" s="5"/>
      <c r="AJ185" s="5"/>
      <c r="AK185" s="5"/>
      <c r="AL185" s="5"/>
      <c r="AM185" s="5"/>
      <c r="AN185" s="28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33">
        <f t="shared" si="8"/>
        <v>0</v>
      </c>
      <c r="BN185" s="33" t="s">
        <v>38</v>
      </c>
      <c r="BO185" s="28"/>
      <c r="BP185" s="58"/>
    </row>
    <row r="186" spans="1:68" s="10" customFormat="1" ht="11.25" hidden="1">
      <c r="A186" s="25" t="str">
        <f>"07891"</f>
        <v>07891</v>
      </c>
      <c r="B186" s="58"/>
      <c r="C186" s="99" t="str">
        <f>"KÉSZPÉNZFIZETÉSI SZÁMLA"</f>
        <v>KÉSZPÉNZFIZETÉSI SZÁMLA</v>
      </c>
      <c r="D186" s="99" t="str">
        <f>"50X3 A/5 ÁLLÓ HELYZETŰ"</f>
        <v>50X3 A/5 ÁLLÓ HELYZETŰ</v>
      </c>
      <c r="E186" s="5"/>
      <c r="F186" s="5"/>
      <c r="G186" s="5"/>
      <c r="H186" s="28"/>
      <c r="I186" s="5"/>
      <c r="J186" s="5"/>
      <c r="K186" s="5"/>
      <c r="L186" s="5"/>
      <c r="M186" s="5"/>
      <c r="N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13"/>
      <c r="AE186" s="5"/>
      <c r="AF186" s="5"/>
      <c r="AG186" s="5"/>
      <c r="AH186" s="5"/>
      <c r="AI186" s="5"/>
      <c r="AJ186" s="5"/>
      <c r="AK186" s="5"/>
      <c r="AL186" s="5"/>
      <c r="AM186" s="5"/>
      <c r="AN186" s="28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33">
        <f t="shared" si="8"/>
        <v>0</v>
      </c>
      <c r="BN186" s="33" t="s">
        <v>38</v>
      </c>
      <c r="BO186" s="28"/>
      <c r="BP186" s="58"/>
    </row>
    <row r="187" spans="1:68" s="10" customFormat="1" ht="11.25" hidden="1">
      <c r="A187" s="25" t="str">
        <f>"08103"</f>
        <v>08103</v>
      </c>
      <c r="B187" s="58"/>
      <c r="C187" s="99" t="str">
        <f>"KÉSZPÉNZFIZETÉSI SZÁMLA"</f>
        <v>KÉSZPÉNZFIZETÉSI SZÁMLA</v>
      </c>
      <c r="D187" s="99" t="str">
        <f>"50X3 A/5 FEKVŐ HELYZETŰ"</f>
        <v>50X3 A/5 FEKVŐ HELYZETŰ</v>
      </c>
      <c r="E187" s="5"/>
      <c r="F187" s="5"/>
      <c r="G187" s="5"/>
      <c r="H187" s="28"/>
      <c r="I187" s="5"/>
      <c r="J187" s="5"/>
      <c r="K187" s="5"/>
      <c r="L187" s="5"/>
      <c r="M187" s="5"/>
      <c r="N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13"/>
      <c r="AE187" s="5"/>
      <c r="AF187" s="5"/>
      <c r="AG187" s="5"/>
      <c r="AH187" s="5"/>
      <c r="AI187" s="5"/>
      <c r="AJ187" s="5"/>
      <c r="AK187" s="5"/>
      <c r="AL187" s="5"/>
      <c r="AM187" s="5"/>
      <c r="AN187" s="28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33">
        <f t="shared" si="8"/>
        <v>0</v>
      </c>
      <c r="BN187" s="33" t="s">
        <v>38</v>
      </c>
      <c r="BO187" s="28"/>
      <c r="BP187" s="58"/>
    </row>
    <row r="188" spans="1:68" s="10" customFormat="1" ht="22.5" hidden="1">
      <c r="A188" s="25" t="str">
        <f>"08000"</f>
        <v>08000</v>
      </c>
      <c r="B188" s="58"/>
      <c r="C188" s="99" t="str">
        <f>"KÉSZPÉNZFIZETÉSI SZÁMLA (50X3 LAPOS)"</f>
        <v>KÉSZPÉNZFIZETÉSI SZÁMLA (50X3 LAPOS)</v>
      </c>
      <c r="D188" s="99" t="str">
        <f>"B.13-373"</f>
        <v>B.13-373</v>
      </c>
      <c r="E188" s="5"/>
      <c r="F188" s="5"/>
      <c r="G188" s="5"/>
      <c r="H188" s="28"/>
      <c r="I188" s="5"/>
      <c r="J188" s="5"/>
      <c r="K188" s="5"/>
      <c r="L188" s="5"/>
      <c r="M188" s="5"/>
      <c r="N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13"/>
      <c r="AE188" s="5"/>
      <c r="AF188" s="5"/>
      <c r="AG188" s="5"/>
      <c r="AH188" s="5"/>
      <c r="AI188" s="5"/>
      <c r="AJ188" s="5"/>
      <c r="AK188" s="5"/>
      <c r="AL188" s="5"/>
      <c r="AM188" s="5"/>
      <c r="AN188" s="28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33">
        <f t="shared" si="8"/>
        <v>0</v>
      </c>
      <c r="BN188" s="33" t="s">
        <v>38</v>
      </c>
      <c r="BO188" s="28"/>
      <c r="BP188" s="58"/>
    </row>
    <row r="189" spans="1:69" s="10" customFormat="1" ht="11.25" hidden="1">
      <c r="A189" s="25" t="str">
        <f>"08926"</f>
        <v>08926</v>
      </c>
      <c r="B189" s="58"/>
      <c r="C189" s="99" t="str">
        <f>"KÉSZPÉNZIGÉNYLÉS ELSZÁMOLÁS"</f>
        <v>KÉSZPÉNZIGÉNYLÉS ELSZÁMOLÁS</v>
      </c>
      <c r="D189" s="99"/>
      <c r="E189" s="5"/>
      <c r="F189" s="5"/>
      <c r="G189" s="5"/>
      <c r="H189" s="28"/>
      <c r="I189" s="5"/>
      <c r="J189" s="5"/>
      <c r="K189" s="5"/>
      <c r="L189" s="5"/>
      <c r="M189" s="5"/>
      <c r="N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13"/>
      <c r="AE189" s="5"/>
      <c r="AF189" s="5"/>
      <c r="AG189" s="5"/>
      <c r="AH189" s="5"/>
      <c r="AI189" s="5"/>
      <c r="AJ189" s="5"/>
      <c r="AK189" s="5"/>
      <c r="AL189" s="5"/>
      <c r="AM189" s="5"/>
      <c r="AN189" s="28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33">
        <f t="shared" si="8"/>
        <v>0</v>
      </c>
      <c r="BN189" s="33" t="s">
        <v>38</v>
      </c>
      <c r="BO189" s="28"/>
      <c r="BP189" s="58"/>
      <c r="BQ189" s="9"/>
    </row>
    <row r="190" spans="1:68" s="9" customFormat="1" ht="11.25" hidden="1">
      <c r="A190" s="25" t="str">
        <f>"12358"</f>
        <v>12358</v>
      </c>
      <c r="B190" s="58"/>
      <c r="C190" s="99" t="str">
        <f>"KÉZVIZEZŐ SZIVACS"</f>
        <v>KÉZVIZEZŐ SZIVACS</v>
      </c>
      <c r="D190" s="99"/>
      <c r="E190" s="6"/>
      <c r="F190" s="6"/>
      <c r="G190" s="6"/>
      <c r="H190" s="28"/>
      <c r="I190" s="6"/>
      <c r="J190" s="6"/>
      <c r="K190" s="6"/>
      <c r="L190" s="6"/>
      <c r="M190" s="6"/>
      <c r="N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14"/>
      <c r="AE190" s="6"/>
      <c r="AF190" s="6"/>
      <c r="AG190" s="6"/>
      <c r="AH190" s="6"/>
      <c r="AI190" s="6"/>
      <c r="AJ190" s="6"/>
      <c r="AK190" s="6"/>
      <c r="AL190" s="6"/>
      <c r="AM190" s="6"/>
      <c r="AN190" s="28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33">
        <f t="shared" si="8"/>
        <v>0</v>
      </c>
      <c r="BN190" s="33" t="s">
        <v>38</v>
      </c>
      <c r="BO190" s="33"/>
      <c r="BP190" s="55"/>
    </row>
    <row r="191" spans="1:69" s="9" customFormat="1" ht="11.25" hidden="1">
      <c r="A191" s="25" t="str">
        <f>"09042"</f>
        <v>09042</v>
      </c>
      <c r="B191" s="58"/>
      <c r="C191" s="99" t="str">
        <f>"KIADÁSI PÉNZTÁRBIZONYLAT"</f>
        <v>KIADÁSI PÉNZTÁRBIZONYLAT</v>
      </c>
      <c r="D191" s="99"/>
      <c r="E191" s="6"/>
      <c r="F191" s="6"/>
      <c r="G191" s="6"/>
      <c r="H191" s="28"/>
      <c r="I191" s="6"/>
      <c r="J191" s="6"/>
      <c r="K191" s="6"/>
      <c r="L191" s="6"/>
      <c r="M191" s="6"/>
      <c r="N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14"/>
      <c r="AE191" s="6"/>
      <c r="AF191" s="6"/>
      <c r="AG191" s="6"/>
      <c r="AH191" s="6"/>
      <c r="AI191" s="6"/>
      <c r="AJ191" s="6"/>
      <c r="AK191" s="6"/>
      <c r="AL191" s="6"/>
      <c r="AM191" s="6"/>
      <c r="AN191" s="28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33">
        <f t="shared" si="8"/>
        <v>0</v>
      </c>
      <c r="BN191" s="33" t="s">
        <v>38</v>
      </c>
      <c r="BO191" s="33"/>
      <c r="BP191" s="55"/>
      <c r="BQ191" s="10"/>
    </row>
    <row r="192" spans="1:68" s="10" customFormat="1" ht="22.5" hidden="1">
      <c r="A192" s="25" t="str">
        <f>"09466"</f>
        <v>09466</v>
      </c>
      <c r="B192" s="58"/>
      <c r="C192" s="99" t="str">
        <f>"KIKÜLDETÉSI RENDELVÉNY (PÁTRIA)"</f>
        <v>KIKÜLDETÉSI RENDELVÉNY (PÁTRIA)</v>
      </c>
      <c r="D192" s="99" t="str">
        <f>"B.18-73/ÚJ"</f>
        <v>B.18-73/ÚJ</v>
      </c>
      <c r="E192" s="5"/>
      <c r="F192" s="5"/>
      <c r="G192" s="5"/>
      <c r="H192" s="28"/>
      <c r="I192" s="5"/>
      <c r="J192" s="5"/>
      <c r="K192" s="5"/>
      <c r="L192" s="5"/>
      <c r="M192" s="5"/>
      <c r="N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13"/>
      <c r="AE192" s="5"/>
      <c r="AF192" s="5"/>
      <c r="AG192" s="5"/>
      <c r="AH192" s="5"/>
      <c r="AI192" s="5"/>
      <c r="AJ192" s="5"/>
      <c r="AK192" s="5"/>
      <c r="AL192" s="5"/>
      <c r="AM192" s="5"/>
      <c r="AN192" s="28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33">
        <f t="shared" si="8"/>
        <v>0</v>
      </c>
      <c r="BN192" s="33" t="s">
        <v>38</v>
      </c>
      <c r="BO192" s="28"/>
      <c r="BP192" s="58"/>
    </row>
    <row r="193" spans="1:69" s="10" customFormat="1" ht="22.5" hidden="1">
      <c r="A193" s="25" t="str">
        <f>"12421"</f>
        <v>12421</v>
      </c>
      <c r="B193" s="58"/>
      <c r="C193" s="99" t="str">
        <f>"KISÉRŐJEGY (SZ) VESZÉLYES HULLADÉK"</f>
        <v>KISÉRŐJEGY (SZ) VESZÉLYES HULLADÉK</v>
      </c>
      <c r="D193" s="99" t="str">
        <f>"DE. 501"</f>
        <v>DE. 501</v>
      </c>
      <c r="E193" s="5"/>
      <c r="F193" s="5"/>
      <c r="G193" s="5"/>
      <c r="H193" s="28"/>
      <c r="I193" s="5"/>
      <c r="J193" s="5"/>
      <c r="K193" s="5"/>
      <c r="L193" s="5"/>
      <c r="M193" s="5"/>
      <c r="N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13"/>
      <c r="AE193" s="5"/>
      <c r="AF193" s="5"/>
      <c r="AG193" s="5"/>
      <c r="AH193" s="5"/>
      <c r="AI193" s="5"/>
      <c r="AJ193" s="5"/>
      <c r="AK193" s="5"/>
      <c r="AL193" s="5"/>
      <c r="AM193" s="5"/>
      <c r="AN193" s="28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33">
        <f t="shared" si="8"/>
        <v>0</v>
      </c>
      <c r="BN193" s="33" t="s">
        <v>38</v>
      </c>
      <c r="BO193" s="28"/>
      <c r="BP193" s="58"/>
      <c r="BQ193" s="9"/>
    </row>
    <row r="194" spans="1:68" s="9" customFormat="1" ht="11.25" hidden="1">
      <c r="A194" s="25" t="str">
        <f>"07498"</f>
        <v>07498</v>
      </c>
      <c r="B194" s="58"/>
      <c r="C194" s="99" t="str">
        <f>"KÖNYÖKLÖ (ASZTALI)"</f>
        <v>KÖNYÖKLÖ (ASZTALI)</v>
      </c>
      <c r="D194" s="99" t="str">
        <f>"A/2"</f>
        <v>A/2</v>
      </c>
      <c r="E194" s="6"/>
      <c r="F194" s="6"/>
      <c r="G194" s="6"/>
      <c r="H194" s="28"/>
      <c r="I194" s="6"/>
      <c r="J194" s="6"/>
      <c r="K194" s="6"/>
      <c r="L194" s="6"/>
      <c r="M194" s="6"/>
      <c r="N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14"/>
      <c r="AE194" s="6"/>
      <c r="AF194" s="6"/>
      <c r="AG194" s="6"/>
      <c r="AH194" s="6"/>
      <c r="AI194" s="6"/>
      <c r="AJ194" s="6"/>
      <c r="AK194" s="6"/>
      <c r="AL194" s="6"/>
      <c r="AM194" s="6"/>
      <c r="AN194" s="28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33">
        <f t="shared" si="8"/>
        <v>0</v>
      </c>
      <c r="BN194" s="33" t="s">
        <v>38</v>
      </c>
      <c r="BO194" s="33"/>
      <c r="BP194" s="55"/>
    </row>
    <row r="195" spans="1:69" s="9" customFormat="1" ht="11.25" hidden="1">
      <c r="A195" s="25" t="str">
        <f>"13538"</f>
        <v>13538</v>
      </c>
      <c r="B195" s="58"/>
      <c r="C195" s="99" t="str">
        <f>"KÖRSABLON"</f>
        <v>KÖRSABLON</v>
      </c>
      <c r="D195" s="99" t="str">
        <f>"4-40 MM"</f>
        <v>4-40 MM</v>
      </c>
      <c r="E195" s="6"/>
      <c r="F195" s="6"/>
      <c r="G195" s="6"/>
      <c r="H195" s="28"/>
      <c r="I195" s="6"/>
      <c r="J195" s="6"/>
      <c r="K195" s="6"/>
      <c r="L195" s="6"/>
      <c r="M195" s="6"/>
      <c r="N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14"/>
      <c r="AE195" s="6"/>
      <c r="AF195" s="6"/>
      <c r="AG195" s="6"/>
      <c r="AH195" s="6"/>
      <c r="AI195" s="6"/>
      <c r="AJ195" s="6"/>
      <c r="AK195" s="6"/>
      <c r="AL195" s="6"/>
      <c r="AM195" s="6"/>
      <c r="AN195" s="28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33">
        <f t="shared" si="8"/>
        <v>0</v>
      </c>
      <c r="BN195" s="33" t="s">
        <v>38</v>
      </c>
      <c r="BO195" s="33"/>
      <c r="BP195" s="55"/>
      <c r="BQ195" s="10"/>
    </row>
    <row r="196" spans="1:69" s="10" customFormat="1" ht="11.25" hidden="1">
      <c r="A196" s="25" t="str">
        <f>"10764"</f>
        <v>10764</v>
      </c>
      <c r="B196" s="58"/>
      <c r="C196" s="99" t="str">
        <f>"LAMINÁLÓ FÓLIA"</f>
        <v>LAMINÁLÓ FÓLIA</v>
      </c>
      <c r="D196" s="99" t="str">
        <f>"A/4"</f>
        <v>A/4</v>
      </c>
      <c r="E196" s="5"/>
      <c r="F196" s="5"/>
      <c r="G196" s="5"/>
      <c r="H196" s="28"/>
      <c r="I196" s="5"/>
      <c r="J196" s="5"/>
      <c r="K196" s="5"/>
      <c r="L196" s="5"/>
      <c r="M196" s="5"/>
      <c r="N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13"/>
      <c r="AE196" s="5"/>
      <c r="AF196" s="5"/>
      <c r="AG196" s="5"/>
      <c r="AH196" s="5"/>
      <c r="AI196" s="5"/>
      <c r="AJ196" s="5"/>
      <c r="AK196" s="5"/>
      <c r="AL196" s="5"/>
      <c r="AM196" s="5"/>
      <c r="AN196" s="28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33">
        <f t="shared" si="8"/>
        <v>0</v>
      </c>
      <c r="BN196" s="33" t="s">
        <v>38</v>
      </c>
      <c r="BO196" s="28"/>
      <c r="BP196" s="58"/>
      <c r="BQ196" s="9"/>
    </row>
    <row r="197" spans="1:68" s="9" customFormat="1" ht="11.25" hidden="1">
      <c r="A197" s="25" t="str">
        <f>"07941"</f>
        <v>07941</v>
      </c>
      <c r="B197" s="58"/>
      <c r="C197" s="99" t="str">
        <f>"LAMINÁLÓ FÓLIA FEDÉL"</f>
        <v>LAMINÁLÓ FÓLIA FEDÉL</v>
      </c>
      <c r="D197" s="99" t="str">
        <f>"A/4"</f>
        <v>A/4</v>
      </c>
      <c r="E197" s="6"/>
      <c r="F197" s="6"/>
      <c r="G197" s="6"/>
      <c r="H197" s="28"/>
      <c r="I197" s="6"/>
      <c r="J197" s="6"/>
      <c r="K197" s="6"/>
      <c r="L197" s="6"/>
      <c r="M197" s="6"/>
      <c r="N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14"/>
      <c r="AE197" s="6"/>
      <c r="AF197" s="6"/>
      <c r="AG197" s="6"/>
      <c r="AH197" s="6"/>
      <c r="AI197" s="6"/>
      <c r="AJ197" s="6"/>
      <c r="AK197" s="6"/>
      <c r="AL197" s="6"/>
      <c r="AM197" s="6"/>
      <c r="AN197" s="28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33">
        <f t="shared" si="8"/>
        <v>0</v>
      </c>
      <c r="BN197" s="33" t="s">
        <v>38</v>
      </c>
      <c r="BO197" s="33"/>
      <c r="BP197" s="55"/>
    </row>
    <row r="198" spans="1:68" s="9" customFormat="1" ht="11.25" hidden="1">
      <c r="A198" s="25" t="str">
        <f>"07652"</f>
        <v>07652</v>
      </c>
      <c r="B198" s="58"/>
      <c r="C198" s="99" t="str">
        <f>"LAPSZÉLJELÖLŐ"</f>
        <v>LAPSZÉLJELÖLŐ</v>
      </c>
      <c r="D198" s="99" t="str">
        <f>"OOPS (NEON)"</f>
        <v>OOPS (NEON)</v>
      </c>
      <c r="E198" s="6"/>
      <c r="F198" s="6"/>
      <c r="G198" s="6"/>
      <c r="H198" s="28"/>
      <c r="I198" s="6"/>
      <c r="J198" s="6"/>
      <c r="K198" s="6"/>
      <c r="L198" s="6"/>
      <c r="M198" s="6"/>
      <c r="N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14"/>
      <c r="AE198" s="6"/>
      <c r="AF198" s="6"/>
      <c r="AG198" s="6"/>
      <c r="AH198" s="6"/>
      <c r="AI198" s="6"/>
      <c r="AJ198" s="6"/>
      <c r="AK198" s="6"/>
      <c r="AL198" s="6"/>
      <c r="AM198" s="6"/>
      <c r="AN198" s="28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33">
        <f t="shared" si="8"/>
        <v>0</v>
      </c>
      <c r="BN198" s="33" t="s">
        <v>38</v>
      </c>
      <c r="BO198" s="33"/>
      <c r="BP198" s="55"/>
    </row>
    <row r="199" spans="1:68" s="9" customFormat="1" ht="11.25">
      <c r="A199" s="25" t="str">
        <f>"10861"</f>
        <v>10861</v>
      </c>
      <c r="B199" s="58" t="s">
        <v>303</v>
      </c>
      <c r="C199" s="99" t="s">
        <v>77</v>
      </c>
      <c r="D199" s="99" t="s">
        <v>79</v>
      </c>
      <c r="E199" s="6"/>
      <c r="F199" s="6"/>
      <c r="G199" s="6"/>
      <c r="H199" s="28"/>
      <c r="I199" s="6"/>
      <c r="J199" s="6"/>
      <c r="K199" s="6"/>
      <c r="L199" s="6"/>
      <c r="M199" s="6"/>
      <c r="N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>
        <v>10</v>
      </c>
      <c r="AC199" s="6"/>
      <c r="AD199" s="14"/>
      <c r="AE199" s="6"/>
      <c r="AF199" s="6"/>
      <c r="AG199" s="6"/>
      <c r="AH199" s="6"/>
      <c r="AI199" s="6"/>
      <c r="AJ199" s="6"/>
      <c r="AK199" s="6"/>
      <c r="AL199" s="6"/>
      <c r="AM199" s="6"/>
      <c r="AN199" s="28"/>
      <c r="AO199" s="6"/>
      <c r="AP199" s="6"/>
      <c r="AQ199" s="6"/>
      <c r="AR199" s="6"/>
      <c r="AS199" s="6">
        <v>10</v>
      </c>
      <c r="AT199" s="6"/>
      <c r="AU199" s="6"/>
      <c r="AV199" s="6">
        <v>10</v>
      </c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33">
        <f t="shared" si="8"/>
        <v>30</v>
      </c>
      <c r="BN199" s="33" t="s">
        <v>38</v>
      </c>
      <c r="BO199" s="33"/>
      <c r="BP199" s="55"/>
    </row>
    <row r="200" spans="1:68" s="9" customFormat="1" ht="11.25">
      <c r="A200" s="25" t="str">
        <f>"10861"</f>
        <v>10861</v>
      </c>
      <c r="B200" s="58" t="s">
        <v>304</v>
      </c>
      <c r="C200" s="99" t="s">
        <v>77</v>
      </c>
      <c r="D200" s="99" t="s">
        <v>78</v>
      </c>
      <c r="E200" s="6"/>
      <c r="F200" s="6"/>
      <c r="G200" s="6"/>
      <c r="H200" s="28"/>
      <c r="I200" s="6"/>
      <c r="J200" s="6"/>
      <c r="K200" s="6"/>
      <c r="L200" s="6"/>
      <c r="M200" s="6"/>
      <c r="N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14"/>
      <c r="AE200" s="6"/>
      <c r="AF200" s="6"/>
      <c r="AG200" s="6"/>
      <c r="AH200" s="6"/>
      <c r="AI200" s="6"/>
      <c r="AJ200" s="6"/>
      <c r="AK200" s="6"/>
      <c r="AL200" s="6"/>
      <c r="AM200" s="6"/>
      <c r="AN200" s="28"/>
      <c r="AO200" s="6"/>
      <c r="AP200" s="6"/>
      <c r="AQ200" s="6"/>
      <c r="AR200" s="6"/>
      <c r="AS200" s="6"/>
      <c r="AT200" s="6"/>
      <c r="AU200" s="6"/>
      <c r="AV200" s="6">
        <v>10</v>
      </c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33">
        <f aca="true" t="shared" si="10" ref="BM200:BM263">SUM(E200:BL200)</f>
        <v>10</v>
      </c>
      <c r="BN200" s="33" t="s">
        <v>38</v>
      </c>
      <c r="BO200" s="33"/>
      <c r="BP200" s="55"/>
    </row>
    <row r="201" spans="1:68" s="9" customFormat="1" ht="11.25" hidden="1">
      <c r="A201" s="35" t="str">
        <f>"07610"</f>
        <v>07610</v>
      </c>
      <c r="B201" s="59"/>
      <c r="C201" s="99" t="str">
        <f>"LAPSZÉLJELZŐ (4 SZÍNŰ)"</f>
        <v>LAPSZÉLJELZŐ (4 SZÍNŰ)</v>
      </c>
      <c r="D201" s="99" t="str">
        <f>"EAGLE"</f>
        <v>EAGLE</v>
      </c>
      <c r="E201" s="6"/>
      <c r="F201" s="6"/>
      <c r="G201" s="6"/>
      <c r="H201" s="28"/>
      <c r="I201" s="6"/>
      <c r="J201" s="6"/>
      <c r="K201" s="6"/>
      <c r="L201" s="6"/>
      <c r="M201" s="6"/>
      <c r="N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14"/>
      <c r="AE201" s="6"/>
      <c r="AF201" s="6"/>
      <c r="AG201" s="6"/>
      <c r="AH201" s="6"/>
      <c r="AI201" s="6"/>
      <c r="AJ201" s="6"/>
      <c r="AK201" s="6"/>
      <c r="AL201" s="6"/>
      <c r="AM201" s="6"/>
      <c r="AN201" s="28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33">
        <f t="shared" si="10"/>
        <v>0</v>
      </c>
      <c r="BN201" s="33" t="s">
        <v>38</v>
      </c>
      <c r="BO201" s="33"/>
      <c r="BP201" s="55"/>
    </row>
    <row r="202" spans="1:68" s="9" customFormat="1" ht="11.25">
      <c r="A202" s="25">
        <v>14696</v>
      </c>
      <c r="B202" s="58" t="s">
        <v>305</v>
      </c>
      <c r="C202" s="99" t="s">
        <v>50</v>
      </c>
      <c r="D202" s="99"/>
      <c r="E202" s="6"/>
      <c r="F202" s="6"/>
      <c r="G202" s="6"/>
      <c r="H202" s="28"/>
      <c r="I202" s="6"/>
      <c r="J202" s="6"/>
      <c r="K202" s="6"/>
      <c r="L202" s="6">
        <v>3</v>
      </c>
      <c r="M202" s="6"/>
      <c r="N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14"/>
      <c r="AE202" s="6"/>
      <c r="AF202" s="6"/>
      <c r="AG202" s="6"/>
      <c r="AH202" s="6"/>
      <c r="AI202" s="6"/>
      <c r="AJ202" s="6"/>
      <c r="AK202" s="6"/>
      <c r="AL202" s="6"/>
      <c r="AM202" s="6"/>
      <c r="AN202" s="28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>
        <v>5</v>
      </c>
      <c r="BJ202" s="6"/>
      <c r="BK202" s="6"/>
      <c r="BL202" s="6"/>
      <c r="BM202" s="33">
        <f t="shared" si="10"/>
        <v>8</v>
      </c>
      <c r="BN202" s="33" t="s">
        <v>38</v>
      </c>
      <c r="BO202" s="33"/>
      <c r="BP202" s="55"/>
    </row>
    <row r="203" spans="1:68" s="9" customFormat="1" ht="11.25">
      <c r="A203" s="25" t="str">
        <f>"08736"</f>
        <v>08736</v>
      </c>
      <c r="B203" s="58" t="s">
        <v>306</v>
      </c>
      <c r="C203" s="99" t="str">
        <f>"IRATPAPUCS (PVC) KÉK SZÍNŰ"</f>
        <v>IRATPAPUCS (PVC) KÉK SZÍNŰ</v>
      </c>
      <c r="D203" s="99"/>
      <c r="E203" s="6"/>
      <c r="F203" s="6"/>
      <c r="G203" s="6"/>
      <c r="H203" s="28"/>
      <c r="I203" s="6"/>
      <c r="J203" s="6"/>
      <c r="K203" s="6"/>
      <c r="L203" s="6"/>
      <c r="M203" s="6"/>
      <c r="N203" s="6"/>
      <c r="P203" s="6"/>
      <c r="Q203" s="6"/>
      <c r="R203" s="6"/>
      <c r="S203" s="6"/>
      <c r="T203" s="6">
        <v>3</v>
      </c>
      <c r="U203" s="6"/>
      <c r="V203" s="6"/>
      <c r="W203" s="6"/>
      <c r="X203" s="6"/>
      <c r="Y203" s="6"/>
      <c r="Z203" s="6"/>
      <c r="AA203" s="6"/>
      <c r="AB203" s="6"/>
      <c r="AC203" s="6"/>
      <c r="AD203" s="14"/>
      <c r="AE203" s="6"/>
      <c r="AF203" s="6"/>
      <c r="AG203" s="6"/>
      <c r="AH203" s="6"/>
      <c r="AI203" s="6"/>
      <c r="AJ203" s="6"/>
      <c r="AK203" s="6"/>
      <c r="AL203" s="6"/>
      <c r="AM203" s="6"/>
      <c r="AN203" s="28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33">
        <f t="shared" si="10"/>
        <v>3</v>
      </c>
      <c r="BN203" s="33" t="s">
        <v>38</v>
      </c>
      <c r="BO203" s="33"/>
      <c r="BP203" s="55"/>
    </row>
    <row r="204" spans="1:69" s="9" customFormat="1" ht="11.25" hidden="1">
      <c r="A204" s="25" t="str">
        <f>"10006"</f>
        <v>10006</v>
      </c>
      <c r="B204" s="58"/>
      <c r="C204" s="99" t="str">
        <f>"LEFŰZHETŐS TASAK"</f>
        <v>LEFŰZHETŐS TASAK</v>
      </c>
      <c r="D204" s="99"/>
      <c r="E204" s="6"/>
      <c r="F204" s="6"/>
      <c r="G204" s="6"/>
      <c r="H204" s="28"/>
      <c r="I204" s="6"/>
      <c r="J204" s="6"/>
      <c r="K204" s="6"/>
      <c r="L204" s="6"/>
      <c r="M204" s="6"/>
      <c r="N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14"/>
      <c r="AE204" s="6"/>
      <c r="AF204" s="6"/>
      <c r="AG204" s="6"/>
      <c r="AH204" s="6"/>
      <c r="AI204" s="6"/>
      <c r="AJ204" s="6"/>
      <c r="AK204" s="6"/>
      <c r="AL204" s="6"/>
      <c r="AM204" s="6"/>
      <c r="AN204" s="28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33">
        <f t="shared" si="10"/>
        <v>0</v>
      </c>
      <c r="BN204" s="33" t="s">
        <v>38</v>
      </c>
      <c r="BO204" s="33"/>
      <c r="BP204" s="55"/>
      <c r="BQ204" s="10"/>
    </row>
    <row r="205" spans="1:68" s="10" customFormat="1" ht="11.25" hidden="1">
      <c r="A205" s="25" t="str">
        <f>"09812"</f>
        <v>09812</v>
      </c>
      <c r="B205" s="58"/>
      <c r="C205" s="99" t="str">
        <f>"LEPORELLÓ (1 PLD-OS)"</f>
        <v>LEPORELLÓ (1 PLD-OS)</v>
      </c>
      <c r="D205" s="99" t="s">
        <v>1</v>
      </c>
      <c r="E205" s="5"/>
      <c r="F205" s="5"/>
      <c r="G205" s="5"/>
      <c r="H205" s="28"/>
      <c r="I205" s="5"/>
      <c r="J205" s="5"/>
      <c r="K205" s="5"/>
      <c r="L205" s="5"/>
      <c r="M205" s="5"/>
      <c r="N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13"/>
      <c r="AE205" s="5"/>
      <c r="AF205" s="5"/>
      <c r="AG205" s="5"/>
      <c r="AH205" s="5"/>
      <c r="AI205" s="5"/>
      <c r="AJ205" s="5"/>
      <c r="AK205" s="5"/>
      <c r="AL205" s="5"/>
      <c r="AM205" s="5"/>
      <c r="AN205" s="28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33">
        <f t="shared" si="10"/>
        <v>0</v>
      </c>
      <c r="BN205" s="33" t="s">
        <v>38</v>
      </c>
      <c r="BO205" s="28"/>
      <c r="BP205" s="58"/>
    </row>
    <row r="206" spans="1:68" s="10" customFormat="1" ht="11.25" hidden="1">
      <c r="A206" s="25" t="str">
        <f>"07603"</f>
        <v>07603</v>
      </c>
      <c r="B206" s="58"/>
      <c r="C206" s="99" t="str">
        <f>"LEPORELLÓ (2 PLD-OS)"</f>
        <v>LEPORELLÓ (2 PLD-OS)</v>
      </c>
      <c r="D206" s="99" t="s">
        <v>1</v>
      </c>
      <c r="E206" s="5"/>
      <c r="F206" s="5"/>
      <c r="G206" s="5"/>
      <c r="H206" s="28"/>
      <c r="I206" s="5"/>
      <c r="J206" s="5"/>
      <c r="K206" s="5"/>
      <c r="L206" s="5"/>
      <c r="M206" s="5"/>
      <c r="N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13"/>
      <c r="AE206" s="5"/>
      <c r="AF206" s="5"/>
      <c r="AG206" s="5"/>
      <c r="AH206" s="5"/>
      <c r="AI206" s="5"/>
      <c r="AJ206" s="5"/>
      <c r="AK206" s="5"/>
      <c r="AL206" s="5"/>
      <c r="AM206" s="5"/>
      <c r="AN206" s="28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33">
        <f t="shared" si="10"/>
        <v>0</v>
      </c>
      <c r="BN206" s="33" t="s">
        <v>38</v>
      </c>
      <c r="BO206" s="28"/>
      <c r="BP206" s="58"/>
    </row>
    <row r="207" spans="1:69" s="10" customFormat="1" ht="11.25" hidden="1">
      <c r="A207" s="25" t="str">
        <f>"07523"</f>
        <v>07523</v>
      </c>
      <c r="B207" s="58"/>
      <c r="C207" s="99" t="str">
        <f>"LEPORELLO (SZÉLES) MÜLLER"</f>
        <v>LEPORELLO (SZÉLES) MÜLLER</v>
      </c>
      <c r="D207" s="99" t="str">
        <f>"382/1"</f>
        <v>382/1</v>
      </c>
      <c r="E207" s="5"/>
      <c r="F207" s="5"/>
      <c r="G207" s="5"/>
      <c r="H207" s="28"/>
      <c r="I207" s="5"/>
      <c r="J207" s="5"/>
      <c r="K207" s="5"/>
      <c r="L207" s="5"/>
      <c r="M207" s="5"/>
      <c r="N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13"/>
      <c r="AE207" s="5"/>
      <c r="AF207" s="5"/>
      <c r="AG207" s="5"/>
      <c r="AH207" s="5"/>
      <c r="AI207" s="5"/>
      <c r="AJ207" s="5"/>
      <c r="AK207" s="5"/>
      <c r="AL207" s="5"/>
      <c r="AM207" s="5"/>
      <c r="AN207" s="28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33">
        <f t="shared" si="10"/>
        <v>0</v>
      </c>
      <c r="BN207" s="33" t="s">
        <v>38</v>
      </c>
      <c r="BO207" s="28"/>
      <c r="BP207" s="58"/>
      <c r="BQ207" s="9"/>
    </row>
    <row r="208" spans="1:69" s="9" customFormat="1" ht="11.25" hidden="1">
      <c r="A208" s="25" t="str">
        <f>"07486"</f>
        <v>07486</v>
      </c>
      <c r="B208" s="58"/>
      <c r="C208" s="99" t="str">
        <f>"LÉPTÉKES VONALZÓ"</f>
        <v>LÉPTÉKES VONALZÓ</v>
      </c>
      <c r="D208" s="99" t="str">
        <f>"601"</f>
        <v>601</v>
      </c>
      <c r="E208" s="6"/>
      <c r="F208" s="6"/>
      <c r="G208" s="6"/>
      <c r="H208" s="28"/>
      <c r="I208" s="6"/>
      <c r="J208" s="6"/>
      <c r="K208" s="6"/>
      <c r="L208" s="6"/>
      <c r="M208" s="6"/>
      <c r="N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14"/>
      <c r="AE208" s="6"/>
      <c r="AF208" s="6"/>
      <c r="AG208" s="6"/>
      <c r="AH208" s="6"/>
      <c r="AI208" s="6"/>
      <c r="AJ208" s="6"/>
      <c r="AK208" s="6"/>
      <c r="AL208" s="6"/>
      <c r="AM208" s="6"/>
      <c r="AN208" s="28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33">
        <f t="shared" si="10"/>
        <v>0</v>
      </c>
      <c r="BN208" s="33" t="s">
        <v>38</v>
      </c>
      <c r="BO208" s="33"/>
      <c r="BP208" s="55"/>
      <c r="BQ208" s="10"/>
    </row>
    <row r="209" spans="1:69" s="10" customFormat="1" ht="11.25" hidden="1">
      <c r="A209" s="25" t="str">
        <f>"14545"</f>
        <v>14545</v>
      </c>
      <c r="B209" s="58"/>
      <c r="C209" s="99" t="str">
        <f>"LEVÉLBONTÓ KÉS"</f>
        <v>LEVÉLBONTÓ KÉS</v>
      </c>
      <c r="D209" s="99"/>
      <c r="E209" s="5"/>
      <c r="F209" s="5"/>
      <c r="G209" s="5"/>
      <c r="H209" s="28"/>
      <c r="I209" s="5"/>
      <c r="J209" s="5"/>
      <c r="K209" s="5"/>
      <c r="L209" s="5"/>
      <c r="M209" s="5"/>
      <c r="N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13"/>
      <c r="AE209" s="5"/>
      <c r="AF209" s="5"/>
      <c r="AG209" s="5"/>
      <c r="AH209" s="5"/>
      <c r="AI209" s="5"/>
      <c r="AJ209" s="5"/>
      <c r="AK209" s="5"/>
      <c r="AL209" s="5"/>
      <c r="AM209" s="5"/>
      <c r="AN209" s="28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33">
        <f t="shared" si="10"/>
        <v>0</v>
      </c>
      <c r="BN209" s="33" t="s">
        <v>38</v>
      </c>
      <c r="BO209" s="28"/>
      <c r="BP209" s="58"/>
      <c r="BQ209" s="9"/>
    </row>
    <row r="210" spans="1:68" s="9" customFormat="1" ht="11.25" hidden="1">
      <c r="A210" s="25" t="str">
        <f>"09468"</f>
        <v>09468</v>
      </c>
      <c r="B210" s="58"/>
      <c r="C210" s="99" t="str">
        <f>"LYUKASZTÓGÉP"</f>
        <v>LYUKASZTÓGÉP</v>
      </c>
      <c r="D210" s="99" t="str">
        <f>"EAGLE 837 L"</f>
        <v>EAGLE 837 L</v>
      </c>
      <c r="E210" s="6"/>
      <c r="F210" s="6"/>
      <c r="G210" s="6"/>
      <c r="H210" s="28"/>
      <c r="I210" s="6"/>
      <c r="J210" s="6"/>
      <c r="K210" s="6"/>
      <c r="L210" s="6"/>
      <c r="M210" s="6"/>
      <c r="N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14"/>
      <c r="AE210" s="6"/>
      <c r="AF210" s="6"/>
      <c r="AG210" s="6"/>
      <c r="AH210" s="6"/>
      <c r="AI210" s="6"/>
      <c r="AJ210" s="6"/>
      <c r="AK210" s="6"/>
      <c r="AL210" s="6"/>
      <c r="AM210" s="6"/>
      <c r="AN210" s="28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33">
        <f t="shared" si="10"/>
        <v>0</v>
      </c>
      <c r="BN210" s="33" t="s">
        <v>38</v>
      </c>
      <c r="BO210" s="33"/>
      <c r="BP210" s="55"/>
    </row>
    <row r="211" spans="1:68" s="9" customFormat="1" ht="11.25" hidden="1">
      <c r="A211" s="25" t="str">
        <f>"09465"</f>
        <v>09465</v>
      </c>
      <c r="B211" s="58"/>
      <c r="C211" s="99" t="str">
        <f>"LYUKASZTÓGÉP"</f>
        <v>LYUKASZTÓGÉP</v>
      </c>
      <c r="D211" s="99" t="str">
        <f>"RAPESCO 820-P"</f>
        <v>RAPESCO 820-P</v>
      </c>
      <c r="E211" s="6"/>
      <c r="F211" s="6"/>
      <c r="G211" s="6"/>
      <c r="H211" s="28"/>
      <c r="I211" s="6"/>
      <c r="J211" s="6"/>
      <c r="K211" s="6"/>
      <c r="L211" s="6"/>
      <c r="M211" s="6"/>
      <c r="N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14"/>
      <c r="AE211" s="6"/>
      <c r="AF211" s="6"/>
      <c r="AG211" s="6"/>
      <c r="AH211" s="6"/>
      <c r="AI211" s="6"/>
      <c r="AJ211" s="6"/>
      <c r="AK211" s="6"/>
      <c r="AL211" s="6"/>
      <c r="AM211" s="6"/>
      <c r="AN211" s="28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33">
        <f t="shared" si="10"/>
        <v>0</v>
      </c>
      <c r="BN211" s="33" t="s">
        <v>38</v>
      </c>
      <c r="BO211" s="33"/>
      <c r="BP211" s="55"/>
    </row>
    <row r="212" spans="1:68" s="9" customFormat="1" ht="11.25" hidden="1">
      <c r="A212" s="25" t="str">
        <f>"13834"</f>
        <v>13834</v>
      </c>
      <c r="B212" s="58"/>
      <c r="C212" s="99" t="str">
        <f>"LYUKASZTÓGÉP"</f>
        <v>LYUKASZTÓGÉP</v>
      </c>
      <c r="D212" s="99" t="str">
        <f>"SAX 318"</f>
        <v>SAX 318</v>
      </c>
      <c r="E212" s="6"/>
      <c r="F212" s="6"/>
      <c r="G212" s="6"/>
      <c r="H212" s="28"/>
      <c r="I212" s="6"/>
      <c r="J212" s="6"/>
      <c r="K212" s="6"/>
      <c r="L212" s="6"/>
      <c r="M212" s="6"/>
      <c r="N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14"/>
      <c r="AE212" s="6"/>
      <c r="AF212" s="6"/>
      <c r="AG212" s="6"/>
      <c r="AH212" s="6"/>
      <c r="AI212" s="6"/>
      <c r="AJ212" s="6"/>
      <c r="AK212" s="6"/>
      <c r="AL212" s="6"/>
      <c r="AM212" s="6"/>
      <c r="AN212" s="28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33">
        <f t="shared" si="10"/>
        <v>0</v>
      </c>
      <c r="BN212" s="33" t="s">
        <v>38</v>
      </c>
      <c r="BO212" s="33"/>
      <c r="BP212" s="55"/>
    </row>
    <row r="213" spans="1:68" s="9" customFormat="1" ht="11.25" hidden="1">
      <c r="A213" s="25" t="str">
        <f>"12442"</f>
        <v>12442</v>
      </c>
      <c r="B213" s="58"/>
      <c r="C213" s="99" t="str">
        <f>"MAGIC CLIP ADAGOLÓ"</f>
        <v>MAGIC CLIP ADAGOLÓ</v>
      </c>
      <c r="D213" s="99"/>
      <c r="E213" s="6"/>
      <c r="F213" s="6"/>
      <c r="G213" s="6"/>
      <c r="H213" s="28"/>
      <c r="I213" s="6"/>
      <c r="J213" s="6"/>
      <c r="K213" s="6"/>
      <c r="L213" s="6"/>
      <c r="M213" s="6"/>
      <c r="N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14"/>
      <c r="AE213" s="6"/>
      <c r="AF213" s="6"/>
      <c r="AG213" s="6"/>
      <c r="AH213" s="6"/>
      <c r="AI213" s="6"/>
      <c r="AJ213" s="6"/>
      <c r="AK213" s="6"/>
      <c r="AL213" s="6"/>
      <c r="AM213" s="6"/>
      <c r="AN213" s="28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33">
        <f t="shared" si="10"/>
        <v>0</v>
      </c>
      <c r="BN213" s="33" t="s">
        <v>38</v>
      </c>
      <c r="BO213" s="33"/>
      <c r="BP213" s="55"/>
    </row>
    <row r="214" spans="1:68" s="9" customFormat="1" ht="22.5">
      <c r="A214" s="25" t="str">
        <f>"07489"</f>
        <v>07489</v>
      </c>
      <c r="B214" s="58" t="s">
        <v>307</v>
      </c>
      <c r="C214" s="99" t="s">
        <v>64</v>
      </c>
      <c r="D214" s="99" t="s">
        <v>135</v>
      </c>
      <c r="E214" s="6"/>
      <c r="F214" s="6"/>
      <c r="G214" s="6">
        <v>5</v>
      </c>
      <c r="H214" s="28"/>
      <c r="I214" s="6"/>
      <c r="J214" s="6"/>
      <c r="K214" s="6"/>
      <c r="L214" s="6"/>
      <c r="M214" s="6"/>
      <c r="N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14"/>
      <c r="AE214" s="6"/>
      <c r="AF214" s="6"/>
      <c r="AG214" s="6"/>
      <c r="AH214" s="6"/>
      <c r="AI214" s="6"/>
      <c r="AJ214" s="6"/>
      <c r="AK214" s="6"/>
      <c r="AL214" s="6"/>
      <c r="AM214" s="6"/>
      <c r="AN214" s="28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33">
        <f t="shared" si="10"/>
        <v>5</v>
      </c>
      <c r="BN214" s="33" t="s">
        <v>38</v>
      </c>
      <c r="BO214" s="33"/>
      <c r="BP214" s="55"/>
    </row>
    <row r="215" spans="1:68" s="9" customFormat="1" ht="22.5">
      <c r="A215" s="25" t="str">
        <f>"07489"</f>
        <v>07489</v>
      </c>
      <c r="B215" s="58" t="s">
        <v>308</v>
      </c>
      <c r="C215" s="99" t="s">
        <v>64</v>
      </c>
      <c r="D215" s="99" t="s">
        <v>107</v>
      </c>
      <c r="E215" s="6"/>
      <c r="F215" s="6"/>
      <c r="G215" s="6"/>
      <c r="H215" s="28"/>
      <c r="I215" s="6"/>
      <c r="J215" s="6"/>
      <c r="K215" s="6"/>
      <c r="L215" s="6"/>
      <c r="M215" s="6"/>
      <c r="N215" s="6"/>
      <c r="P215" s="6"/>
      <c r="Q215" s="6"/>
      <c r="R215" s="6"/>
      <c r="S215" s="6"/>
      <c r="T215" s="6"/>
      <c r="U215" s="6">
        <v>3</v>
      </c>
      <c r="V215" s="6"/>
      <c r="W215" s="6"/>
      <c r="X215" s="6"/>
      <c r="Y215" s="6"/>
      <c r="Z215" s="6"/>
      <c r="AA215" s="6"/>
      <c r="AB215" s="6"/>
      <c r="AC215" s="6"/>
      <c r="AD215" s="14"/>
      <c r="AE215" s="6"/>
      <c r="AF215" s="6"/>
      <c r="AG215" s="6"/>
      <c r="AH215" s="6"/>
      <c r="AI215" s="6"/>
      <c r="AJ215" s="6"/>
      <c r="AK215" s="6"/>
      <c r="AL215" s="6"/>
      <c r="AM215" s="6"/>
      <c r="AN215" s="28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33">
        <f t="shared" si="10"/>
        <v>3</v>
      </c>
      <c r="BN215" s="33" t="s">
        <v>38</v>
      </c>
      <c r="BO215" s="33"/>
      <c r="BP215" s="55"/>
    </row>
    <row r="216" spans="1:68" s="9" customFormat="1" ht="22.5">
      <c r="A216" s="25" t="str">
        <f>"07489"</f>
        <v>07489</v>
      </c>
      <c r="B216" s="58" t="s">
        <v>309</v>
      </c>
      <c r="C216" s="99" t="s">
        <v>64</v>
      </c>
      <c r="D216" s="99" t="s">
        <v>132</v>
      </c>
      <c r="E216" s="6"/>
      <c r="F216" s="6"/>
      <c r="G216" s="6"/>
      <c r="H216" s="28"/>
      <c r="I216" s="6"/>
      <c r="J216" s="6"/>
      <c r="K216" s="6"/>
      <c r="L216" s="6"/>
      <c r="M216" s="6"/>
      <c r="N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>
        <v>2</v>
      </c>
      <c r="AC216" s="6"/>
      <c r="AD216" s="14"/>
      <c r="AE216" s="6"/>
      <c r="AF216" s="6"/>
      <c r="AG216" s="6"/>
      <c r="AH216" s="6"/>
      <c r="AI216" s="6"/>
      <c r="AJ216" s="6"/>
      <c r="AK216" s="6"/>
      <c r="AL216" s="6"/>
      <c r="AM216" s="6"/>
      <c r="AN216" s="28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33">
        <f t="shared" si="10"/>
        <v>2</v>
      </c>
      <c r="BN216" s="33" t="s">
        <v>38</v>
      </c>
      <c r="BO216" s="33"/>
      <c r="BP216" s="55"/>
    </row>
    <row r="217" spans="1:68" s="9" customFormat="1" ht="11.25" hidden="1">
      <c r="A217" s="25" t="str">
        <f>"09985"</f>
        <v>09985</v>
      </c>
      <c r="B217" s="58"/>
      <c r="C217" s="99" t="str">
        <f>"MAGIC CLIP KAPOCS"</f>
        <v>MAGIC CLIP KAPOCS</v>
      </c>
      <c r="D217" s="99" t="str">
        <f>"6,4 MM"</f>
        <v>6,4 MM</v>
      </c>
      <c r="E217" s="6"/>
      <c r="F217" s="6"/>
      <c r="G217" s="6"/>
      <c r="H217" s="28"/>
      <c r="I217" s="6"/>
      <c r="J217" s="6"/>
      <c r="K217" s="6"/>
      <c r="L217" s="6"/>
      <c r="M217" s="6"/>
      <c r="N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14"/>
      <c r="AE217" s="6"/>
      <c r="AF217" s="6"/>
      <c r="AG217" s="6"/>
      <c r="AH217" s="6"/>
      <c r="AI217" s="6"/>
      <c r="AJ217" s="6"/>
      <c r="AK217" s="6"/>
      <c r="AL217" s="6"/>
      <c r="AM217" s="6"/>
      <c r="AN217" s="28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33">
        <f t="shared" si="10"/>
        <v>0</v>
      </c>
      <c r="BN217" s="33"/>
      <c r="BO217" s="33"/>
      <c r="BP217" s="55"/>
    </row>
    <row r="218" spans="1:68" s="9" customFormat="1" ht="11.25" hidden="1">
      <c r="A218" s="25" t="str">
        <f>"09749"</f>
        <v>09749</v>
      </c>
      <c r="B218" s="58"/>
      <c r="C218" s="99" t="str">
        <f>"MAGIC CLIP KAPOCS"</f>
        <v>MAGIC CLIP KAPOCS</v>
      </c>
      <c r="D218" s="99" t="str">
        <f>"A/4"</f>
        <v>A/4</v>
      </c>
      <c r="E218" s="6"/>
      <c r="F218" s="6"/>
      <c r="G218" s="6"/>
      <c r="H218" s="28"/>
      <c r="I218" s="6"/>
      <c r="J218" s="6"/>
      <c r="K218" s="6"/>
      <c r="L218" s="6"/>
      <c r="M218" s="6"/>
      <c r="N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14"/>
      <c r="AE218" s="6"/>
      <c r="AF218" s="6"/>
      <c r="AG218" s="6"/>
      <c r="AH218" s="6"/>
      <c r="AI218" s="6"/>
      <c r="AJ218" s="6"/>
      <c r="AK218" s="6"/>
      <c r="AL218" s="6"/>
      <c r="AM218" s="6"/>
      <c r="AN218" s="28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33">
        <f t="shared" si="10"/>
        <v>0</v>
      </c>
      <c r="BN218" s="33"/>
      <c r="BO218" s="33"/>
      <c r="BP218" s="55"/>
    </row>
    <row r="219" spans="1:68" s="9" customFormat="1" ht="22.5">
      <c r="A219" s="25" t="str">
        <f>"07489"</f>
        <v>07489</v>
      </c>
      <c r="B219" s="58" t="s">
        <v>310</v>
      </c>
      <c r="C219" s="99" t="s">
        <v>64</v>
      </c>
      <c r="D219" s="99" t="s">
        <v>109</v>
      </c>
      <c r="E219" s="6"/>
      <c r="F219" s="6"/>
      <c r="G219" s="6"/>
      <c r="H219" s="28"/>
      <c r="I219" s="6"/>
      <c r="J219" s="6"/>
      <c r="K219" s="6"/>
      <c r="L219" s="6"/>
      <c r="M219" s="6"/>
      <c r="N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>
        <v>2</v>
      </c>
      <c r="AC219" s="6"/>
      <c r="AD219" s="14"/>
      <c r="AE219" s="6"/>
      <c r="AF219" s="6"/>
      <c r="AG219" s="6"/>
      <c r="AH219" s="6"/>
      <c r="AI219" s="6"/>
      <c r="AJ219" s="6"/>
      <c r="AK219" s="6"/>
      <c r="AL219" s="6"/>
      <c r="AM219" s="6"/>
      <c r="AN219" s="28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33">
        <f t="shared" si="10"/>
        <v>2</v>
      </c>
      <c r="BN219" s="33" t="s">
        <v>38</v>
      </c>
      <c r="BO219" s="33"/>
      <c r="BP219" s="55"/>
    </row>
    <row r="220" spans="1:68" s="9" customFormat="1" ht="22.5">
      <c r="A220" s="25" t="str">
        <f>"07489"</f>
        <v>07489</v>
      </c>
      <c r="B220" s="58" t="s">
        <v>311</v>
      </c>
      <c r="C220" s="99" t="s">
        <v>64</v>
      </c>
      <c r="D220" s="99" t="s">
        <v>131</v>
      </c>
      <c r="E220" s="6"/>
      <c r="F220" s="6"/>
      <c r="G220" s="6"/>
      <c r="H220" s="28"/>
      <c r="I220" s="6"/>
      <c r="J220" s="6"/>
      <c r="K220" s="6"/>
      <c r="L220" s="6"/>
      <c r="M220" s="6"/>
      <c r="N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14"/>
      <c r="AE220" s="6"/>
      <c r="AF220" s="6"/>
      <c r="AG220" s="6"/>
      <c r="AH220" s="6"/>
      <c r="AI220" s="6"/>
      <c r="AJ220" s="6"/>
      <c r="AK220" s="6"/>
      <c r="AL220" s="6"/>
      <c r="AM220" s="6"/>
      <c r="AN220" s="28"/>
      <c r="AO220" s="6"/>
      <c r="AP220" s="6"/>
      <c r="AQ220" s="6"/>
      <c r="AR220" s="6"/>
      <c r="AS220" s="6"/>
      <c r="AT220" s="6"/>
      <c r="AU220" s="6"/>
      <c r="AV220" s="6"/>
      <c r="AW220" s="6"/>
      <c r="AX220" s="6">
        <v>1</v>
      </c>
      <c r="AY220" s="6">
        <v>1</v>
      </c>
      <c r="AZ220" s="6"/>
      <c r="BA220" s="6"/>
      <c r="BB220" s="6"/>
      <c r="BC220" s="6"/>
      <c r="BD220" s="6">
        <v>2</v>
      </c>
      <c r="BE220" s="6">
        <v>2</v>
      </c>
      <c r="BF220" s="6">
        <v>2</v>
      </c>
      <c r="BG220" s="6"/>
      <c r="BH220" s="6"/>
      <c r="BI220" s="6"/>
      <c r="BJ220" s="6"/>
      <c r="BK220" s="6"/>
      <c r="BL220" s="6"/>
      <c r="BM220" s="33">
        <f t="shared" si="10"/>
        <v>8</v>
      </c>
      <c r="BN220" s="33" t="s">
        <v>38</v>
      </c>
      <c r="BO220" s="33"/>
      <c r="BP220" s="55"/>
    </row>
    <row r="221" spans="1:68" s="9" customFormat="1" ht="22.5">
      <c r="A221" s="25" t="str">
        <f>"07489"</f>
        <v>07489</v>
      </c>
      <c r="B221" s="58" t="s">
        <v>312</v>
      </c>
      <c r="C221" s="99" t="s">
        <v>64</v>
      </c>
      <c r="D221" s="99" t="s">
        <v>94</v>
      </c>
      <c r="E221" s="6"/>
      <c r="F221" s="6"/>
      <c r="G221" s="6"/>
      <c r="H221" s="28"/>
      <c r="I221" s="6"/>
      <c r="J221" s="6"/>
      <c r="K221" s="6"/>
      <c r="L221" s="6"/>
      <c r="M221" s="6"/>
      <c r="N221" s="6"/>
      <c r="P221" s="6"/>
      <c r="Q221" s="6"/>
      <c r="R221" s="6"/>
      <c r="S221" s="6"/>
      <c r="T221" s="6"/>
      <c r="U221" s="6"/>
      <c r="V221" s="6"/>
      <c r="W221" s="6"/>
      <c r="X221" s="6"/>
      <c r="Y221" s="6">
        <v>4</v>
      </c>
      <c r="Z221" s="6"/>
      <c r="AA221" s="6"/>
      <c r="AB221" s="6"/>
      <c r="AC221" s="6"/>
      <c r="AD221" s="14"/>
      <c r="AE221" s="6"/>
      <c r="AF221" s="6"/>
      <c r="AG221" s="6"/>
      <c r="AH221" s="6"/>
      <c r="AI221" s="6"/>
      <c r="AJ221" s="6"/>
      <c r="AK221" s="6"/>
      <c r="AL221" s="6"/>
      <c r="AM221" s="6"/>
      <c r="AN221" s="28"/>
      <c r="AO221" s="6"/>
      <c r="AP221" s="6"/>
      <c r="AQ221" s="6"/>
      <c r="AR221" s="6"/>
      <c r="AS221" s="6"/>
      <c r="AT221" s="6"/>
      <c r="AU221" s="6"/>
      <c r="AV221" s="6"/>
      <c r="AW221" s="6"/>
      <c r="AX221" s="6">
        <v>2</v>
      </c>
      <c r="AY221" s="6">
        <v>2</v>
      </c>
      <c r="AZ221" s="6"/>
      <c r="BA221" s="6"/>
      <c r="BB221" s="6"/>
      <c r="BC221" s="6"/>
      <c r="BD221" s="6">
        <v>5</v>
      </c>
      <c r="BE221" s="6">
        <v>5</v>
      </c>
      <c r="BF221" s="6">
        <v>5</v>
      </c>
      <c r="BG221" s="6"/>
      <c r="BH221" s="6"/>
      <c r="BI221" s="6">
        <v>5</v>
      </c>
      <c r="BJ221" s="6"/>
      <c r="BK221" s="6"/>
      <c r="BL221" s="6"/>
      <c r="BM221" s="33">
        <f t="shared" si="10"/>
        <v>28</v>
      </c>
      <c r="BN221" s="33" t="s">
        <v>38</v>
      </c>
      <c r="BO221" s="33"/>
      <c r="BP221" s="55"/>
    </row>
    <row r="222" spans="1:68" s="10" customFormat="1" ht="11.25" hidden="1">
      <c r="A222" s="25" t="str">
        <f>"10455"</f>
        <v>10455</v>
      </c>
      <c r="B222" s="58"/>
      <c r="C222" s="99" t="str">
        <f>"MUNKABALESETI JEGYZŐKÖNYV"</f>
        <v>MUNKABALESETI JEGYZŐKÖNYV</v>
      </c>
      <c r="D222" s="99" t="str">
        <f>"346/A"</f>
        <v>346/A</v>
      </c>
      <c r="E222" s="5"/>
      <c r="F222" s="5"/>
      <c r="G222" s="5"/>
      <c r="H222" s="28"/>
      <c r="I222" s="5"/>
      <c r="J222" s="5"/>
      <c r="K222" s="5"/>
      <c r="L222" s="5"/>
      <c r="M222" s="5"/>
      <c r="N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13"/>
      <c r="AE222" s="5"/>
      <c r="AF222" s="5"/>
      <c r="AG222" s="5"/>
      <c r="AH222" s="5"/>
      <c r="AI222" s="5"/>
      <c r="AJ222" s="5"/>
      <c r="AK222" s="5"/>
      <c r="AL222" s="5"/>
      <c r="AM222" s="5"/>
      <c r="AN222" s="28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33">
        <f t="shared" si="10"/>
        <v>0</v>
      </c>
      <c r="BN222" s="28"/>
      <c r="BO222" s="28"/>
      <c r="BP222" s="58"/>
    </row>
    <row r="223" spans="1:68" s="10" customFormat="1" ht="22.5" hidden="1">
      <c r="A223" s="25" t="str">
        <f>"09027"</f>
        <v>09027</v>
      </c>
      <c r="B223" s="58"/>
      <c r="C223" s="99" t="str">
        <f>"MUNKAHELYI ITTASSÁGI JEGYZŐKÖNYV"</f>
        <v>MUNKAHELYI ITTASSÁGI JEGYZŐKÖNYV</v>
      </c>
      <c r="D223" s="99"/>
      <c r="E223" s="5"/>
      <c r="F223" s="5"/>
      <c r="G223" s="5"/>
      <c r="H223" s="28"/>
      <c r="I223" s="5"/>
      <c r="J223" s="5"/>
      <c r="K223" s="5"/>
      <c r="L223" s="5"/>
      <c r="M223" s="5"/>
      <c r="N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13"/>
      <c r="AE223" s="5"/>
      <c r="AF223" s="5"/>
      <c r="AG223" s="5"/>
      <c r="AH223" s="5"/>
      <c r="AI223" s="5"/>
      <c r="AJ223" s="5"/>
      <c r="AK223" s="5"/>
      <c r="AL223" s="5"/>
      <c r="AM223" s="5"/>
      <c r="AN223" s="28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33">
        <f t="shared" si="10"/>
        <v>0</v>
      </c>
      <c r="BN223" s="28"/>
      <c r="BO223" s="28"/>
      <c r="BP223" s="58"/>
    </row>
    <row r="224" spans="1:68" s="10" customFormat="1" ht="22.5" hidden="1">
      <c r="A224" s="25" t="str">
        <f>"10456"</f>
        <v>10456</v>
      </c>
      <c r="B224" s="58"/>
      <c r="C224" s="99" t="str">
        <f>"MUNKAHELYI MUNKABALESETI NAPLÓ"</f>
        <v>MUNKAHELYI MUNKABALESETI NAPLÓ</v>
      </c>
      <c r="D224" s="99" t="str">
        <f>"347"</f>
        <v>347</v>
      </c>
      <c r="E224" s="5"/>
      <c r="F224" s="5"/>
      <c r="G224" s="5"/>
      <c r="H224" s="28"/>
      <c r="I224" s="5"/>
      <c r="J224" s="5"/>
      <c r="K224" s="5"/>
      <c r="L224" s="5"/>
      <c r="M224" s="5"/>
      <c r="N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13"/>
      <c r="AE224" s="5"/>
      <c r="AF224" s="5"/>
      <c r="AG224" s="5"/>
      <c r="AH224" s="5"/>
      <c r="AI224" s="5"/>
      <c r="AJ224" s="5"/>
      <c r="AK224" s="5"/>
      <c r="AL224" s="5"/>
      <c r="AM224" s="5"/>
      <c r="AN224" s="28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33">
        <f t="shared" si="10"/>
        <v>0</v>
      </c>
      <c r="BN224" s="28"/>
      <c r="BO224" s="28"/>
      <c r="BP224" s="58"/>
    </row>
    <row r="225" spans="1:68" s="10" customFormat="1" ht="22.5" hidden="1">
      <c r="A225" s="25" t="str">
        <f>"12423"</f>
        <v>12423</v>
      </c>
      <c r="B225" s="58"/>
      <c r="C225" s="99" t="str">
        <f>"MUNKAKÖRI ALK. ITTASSÁGI NAPLÓ"</f>
        <v>MUNKAKÖRI ALK. ITTASSÁGI NAPLÓ</v>
      </c>
      <c r="D225" s="99"/>
      <c r="E225" s="5"/>
      <c r="F225" s="5"/>
      <c r="G225" s="5"/>
      <c r="H225" s="28"/>
      <c r="I225" s="5"/>
      <c r="J225" s="5"/>
      <c r="K225" s="5"/>
      <c r="L225" s="5"/>
      <c r="M225" s="5"/>
      <c r="N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13"/>
      <c r="AE225" s="5"/>
      <c r="AF225" s="5"/>
      <c r="AG225" s="5"/>
      <c r="AH225" s="5"/>
      <c r="AI225" s="5"/>
      <c r="AJ225" s="5"/>
      <c r="AK225" s="5"/>
      <c r="AL225" s="5"/>
      <c r="AM225" s="5"/>
      <c r="AN225" s="28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33">
        <f t="shared" si="10"/>
        <v>0</v>
      </c>
      <c r="BN225" s="28"/>
      <c r="BO225" s="28"/>
      <c r="BP225" s="58"/>
    </row>
    <row r="226" spans="1:68" s="10" customFormat="1" ht="22.5" hidden="1">
      <c r="A226" s="25" t="str">
        <f>"07607"</f>
        <v>07607</v>
      </c>
      <c r="B226" s="58"/>
      <c r="C226" s="99" t="str">
        <f>"MUNKAKÖRI ORVOSI ALK.VIZSGÁLAT"</f>
        <v>MUNKAKÖRI ORVOSI ALK.VIZSGÁLAT</v>
      </c>
      <c r="D226" s="99"/>
      <c r="E226" s="5"/>
      <c r="F226" s="5"/>
      <c r="G226" s="5"/>
      <c r="H226" s="28"/>
      <c r="I226" s="5"/>
      <c r="J226" s="5"/>
      <c r="K226" s="5"/>
      <c r="L226" s="5"/>
      <c r="M226" s="5"/>
      <c r="N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13"/>
      <c r="AE226" s="5"/>
      <c r="AF226" s="5"/>
      <c r="AG226" s="5"/>
      <c r="AH226" s="5"/>
      <c r="AI226" s="5"/>
      <c r="AJ226" s="5"/>
      <c r="AK226" s="5"/>
      <c r="AL226" s="5"/>
      <c r="AM226" s="5"/>
      <c r="AN226" s="28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33">
        <f t="shared" si="10"/>
        <v>0</v>
      </c>
      <c r="BN226" s="28"/>
      <c r="BO226" s="28"/>
      <c r="BP226" s="58"/>
    </row>
    <row r="227" spans="1:68" s="10" customFormat="1" ht="11.25" hidden="1">
      <c r="A227" s="25" t="str">
        <f>"08012"</f>
        <v>08012</v>
      </c>
      <c r="B227" s="58"/>
      <c r="C227" s="99" t="str">
        <f>"MUNKALAP (ELŐLAP-2PLD-OS)"</f>
        <v>MUNKALAP (ELŐLAP-2PLD-OS)</v>
      </c>
      <c r="D227" s="99" t="str">
        <f>"A/4"</f>
        <v>A/4</v>
      </c>
      <c r="E227" s="5"/>
      <c r="F227" s="5"/>
      <c r="G227" s="5"/>
      <c r="H227" s="28"/>
      <c r="I227" s="5"/>
      <c r="J227" s="5"/>
      <c r="K227" s="5"/>
      <c r="L227" s="5"/>
      <c r="M227" s="5"/>
      <c r="N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13"/>
      <c r="AE227" s="5"/>
      <c r="AF227" s="5"/>
      <c r="AG227" s="5"/>
      <c r="AH227" s="5"/>
      <c r="AI227" s="5"/>
      <c r="AJ227" s="5"/>
      <c r="AK227" s="5"/>
      <c r="AL227" s="5"/>
      <c r="AM227" s="5"/>
      <c r="AN227" s="28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33">
        <f t="shared" si="10"/>
        <v>0</v>
      </c>
      <c r="BN227" s="28"/>
      <c r="BO227" s="28"/>
      <c r="BP227" s="58"/>
    </row>
    <row r="228" spans="1:68" s="10" customFormat="1" ht="11.25" hidden="1">
      <c r="A228" s="25" t="str">
        <f>"08013"</f>
        <v>08013</v>
      </c>
      <c r="B228" s="58"/>
      <c r="C228" s="99" t="str">
        <f>"MUNKALAP (HÁTLAP-2PLD-OS)"</f>
        <v>MUNKALAP (HÁTLAP-2PLD-OS)</v>
      </c>
      <c r="D228" s="99" t="str">
        <f>"A/4"</f>
        <v>A/4</v>
      </c>
      <c r="E228" s="5"/>
      <c r="F228" s="5"/>
      <c r="G228" s="5"/>
      <c r="H228" s="28"/>
      <c r="I228" s="5"/>
      <c r="J228" s="5"/>
      <c r="K228" s="5"/>
      <c r="L228" s="5"/>
      <c r="M228" s="5"/>
      <c r="N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13"/>
      <c r="AE228" s="5"/>
      <c r="AF228" s="5"/>
      <c r="AG228" s="5"/>
      <c r="AH228" s="5"/>
      <c r="AI228" s="5"/>
      <c r="AJ228" s="5"/>
      <c r="AK228" s="5"/>
      <c r="AL228" s="5"/>
      <c r="AM228" s="5"/>
      <c r="AN228" s="28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33">
        <f t="shared" si="10"/>
        <v>0</v>
      </c>
      <c r="BN228" s="28"/>
      <c r="BO228" s="28"/>
      <c r="BP228" s="58"/>
    </row>
    <row r="229" spans="1:68" s="10" customFormat="1" ht="11.25" hidden="1">
      <c r="A229" s="25" t="str">
        <f>"10491"</f>
        <v>10491</v>
      </c>
      <c r="B229" s="58"/>
      <c r="C229" s="99" t="str">
        <f>"MUNKAÜGYI TASAK"</f>
        <v>MUNKAÜGYI TASAK</v>
      </c>
      <c r="D229" s="99" t="str">
        <f>"11.R.SZ."</f>
        <v>11.R.SZ.</v>
      </c>
      <c r="E229" s="5"/>
      <c r="F229" s="5"/>
      <c r="G229" s="5"/>
      <c r="H229" s="28"/>
      <c r="I229" s="5"/>
      <c r="J229" s="5"/>
      <c r="K229" s="5"/>
      <c r="L229" s="5"/>
      <c r="M229" s="5"/>
      <c r="N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13"/>
      <c r="AE229" s="5"/>
      <c r="AF229" s="5"/>
      <c r="AG229" s="5"/>
      <c r="AH229" s="5"/>
      <c r="AI229" s="5"/>
      <c r="AJ229" s="5"/>
      <c r="AK229" s="5"/>
      <c r="AL229" s="5"/>
      <c r="AM229" s="5"/>
      <c r="AN229" s="28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33">
        <f t="shared" si="10"/>
        <v>0</v>
      </c>
      <c r="BN229" s="28"/>
      <c r="BO229" s="28"/>
      <c r="BP229" s="58"/>
    </row>
    <row r="230" spans="1:68" s="10" customFormat="1" ht="11.25" hidden="1">
      <c r="A230" s="25" t="str">
        <f>"08164"</f>
        <v>08164</v>
      </c>
      <c r="B230" s="58"/>
      <c r="C230" s="99" t="str">
        <f>"MUNKAVÁLLALÓI KARTON"</f>
        <v>MUNKAVÁLLALÓI KARTON</v>
      </c>
      <c r="D230" s="99" t="str">
        <f>"B.VÁLL 11."</f>
        <v>B.VÁLL 11.</v>
      </c>
      <c r="E230" s="5"/>
      <c r="F230" s="5"/>
      <c r="G230" s="5"/>
      <c r="H230" s="28"/>
      <c r="I230" s="5"/>
      <c r="J230" s="5"/>
      <c r="K230" s="5"/>
      <c r="L230" s="5"/>
      <c r="M230" s="5"/>
      <c r="N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13"/>
      <c r="AE230" s="5"/>
      <c r="AF230" s="5"/>
      <c r="AG230" s="5"/>
      <c r="AH230" s="5"/>
      <c r="AI230" s="5"/>
      <c r="AJ230" s="5"/>
      <c r="AK230" s="5"/>
      <c r="AL230" s="5"/>
      <c r="AM230" s="5"/>
      <c r="AN230" s="28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33">
        <f t="shared" si="10"/>
        <v>0</v>
      </c>
      <c r="BN230" s="28"/>
      <c r="BO230" s="28"/>
      <c r="BP230" s="58"/>
    </row>
    <row r="231" spans="1:68" s="9" customFormat="1" ht="22.5">
      <c r="A231" s="25" t="str">
        <f>"07489"</f>
        <v>07489</v>
      </c>
      <c r="B231" s="58" t="s">
        <v>313</v>
      </c>
      <c r="C231" s="99" t="s">
        <v>64</v>
      </c>
      <c r="D231" s="99" t="s">
        <v>134</v>
      </c>
      <c r="E231" s="6"/>
      <c r="F231" s="6"/>
      <c r="G231" s="6"/>
      <c r="H231" s="28"/>
      <c r="I231" s="6"/>
      <c r="J231" s="6">
        <v>3</v>
      </c>
      <c r="K231" s="6"/>
      <c r="L231" s="6"/>
      <c r="M231" s="6"/>
      <c r="N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14"/>
      <c r="AE231" s="6"/>
      <c r="AF231" s="6"/>
      <c r="AG231" s="6"/>
      <c r="AH231" s="6"/>
      <c r="AI231" s="6"/>
      <c r="AJ231" s="6"/>
      <c r="AK231" s="6"/>
      <c r="AL231" s="6"/>
      <c r="AM231" s="6"/>
      <c r="AN231" s="28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33">
        <f t="shared" si="10"/>
        <v>3</v>
      </c>
      <c r="BN231" s="33" t="s">
        <v>38</v>
      </c>
      <c r="BO231" s="33"/>
      <c r="BP231" s="55"/>
    </row>
    <row r="232" spans="1:68" s="9" customFormat="1" ht="11.25" hidden="1">
      <c r="A232" s="25" t="str">
        <f>"14238"</f>
        <v>14238</v>
      </c>
      <c r="B232" s="58"/>
      <c r="C232" s="99" t="str">
        <f>"MŰANYAG RÁCS 25CM."</f>
        <v>MŰANYAG RÁCS 25CM.</v>
      </c>
      <c r="D232" s="99"/>
      <c r="E232" s="6"/>
      <c r="F232" s="6"/>
      <c r="G232" s="6"/>
      <c r="H232" s="28"/>
      <c r="I232" s="6"/>
      <c r="J232" s="6"/>
      <c r="K232" s="6"/>
      <c r="L232" s="6"/>
      <c r="M232" s="6"/>
      <c r="N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14"/>
      <c r="AE232" s="6"/>
      <c r="AF232" s="6"/>
      <c r="AG232" s="6"/>
      <c r="AH232" s="6"/>
      <c r="AI232" s="6"/>
      <c r="AJ232" s="6"/>
      <c r="AK232" s="6"/>
      <c r="AL232" s="6"/>
      <c r="AM232" s="6"/>
      <c r="AN232" s="28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33">
        <f t="shared" si="10"/>
        <v>0</v>
      </c>
      <c r="BN232" s="33"/>
      <c r="BO232" s="33"/>
      <c r="BP232" s="55"/>
    </row>
    <row r="233" spans="1:68" s="9" customFormat="1" ht="11.25" hidden="1">
      <c r="A233" s="25" t="str">
        <f>"09843"</f>
        <v>09843</v>
      </c>
      <c r="B233" s="58"/>
      <c r="C233" s="99" t="str">
        <f aca="true" t="shared" si="11" ref="C233:C238">"MŰANYAG SPIRÁL"</f>
        <v>MŰANYAG SPIRÁL</v>
      </c>
      <c r="D233" s="99" t="str">
        <f>"10 MM-ES"</f>
        <v>10 MM-ES</v>
      </c>
      <c r="E233" s="6"/>
      <c r="F233" s="6"/>
      <c r="G233" s="6"/>
      <c r="H233" s="28"/>
      <c r="I233" s="6"/>
      <c r="J233" s="6"/>
      <c r="K233" s="6"/>
      <c r="L233" s="6"/>
      <c r="M233" s="6"/>
      <c r="N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14"/>
      <c r="AE233" s="6"/>
      <c r="AF233" s="6"/>
      <c r="AG233" s="6"/>
      <c r="AH233" s="6"/>
      <c r="AI233" s="6"/>
      <c r="AJ233" s="6"/>
      <c r="AK233" s="6"/>
      <c r="AL233" s="6"/>
      <c r="AM233" s="6"/>
      <c r="AN233" s="28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33">
        <f t="shared" si="10"/>
        <v>0</v>
      </c>
      <c r="BN233" s="33"/>
      <c r="BO233" s="33"/>
      <c r="BP233" s="55"/>
    </row>
    <row r="234" spans="1:69" s="9" customFormat="1" ht="11.25" hidden="1">
      <c r="A234" s="25" t="str">
        <f>"10332"</f>
        <v>10332</v>
      </c>
      <c r="B234" s="58"/>
      <c r="C234" s="99" t="str">
        <f t="shared" si="11"/>
        <v>MŰANYAG SPIRÁL</v>
      </c>
      <c r="D234" s="99" t="str">
        <f>"12 MM-ES"</f>
        <v>12 MM-ES</v>
      </c>
      <c r="E234" s="6"/>
      <c r="F234" s="6"/>
      <c r="G234" s="6"/>
      <c r="H234" s="28"/>
      <c r="I234" s="6"/>
      <c r="J234" s="6"/>
      <c r="K234" s="6"/>
      <c r="L234" s="6"/>
      <c r="M234" s="6"/>
      <c r="N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14"/>
      <c r="AE234" s="6"/>
      <c r="AF234" s="6"/>
      <c r="AG234" s="6"/>
      <c r="AH234" s="6"/>
      <c r="AI234" s="6"/>
      <c r="AJ234" s="6"/>
      <c r="AK234" s="6"/>
      <c r="AL234" s="6"/>
      <c r="AM234" s="6"/>
      <c r="AN234" s="28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33">
        <f t="shared" si="10"/>
        <v>0</v>
      </c>
      <c r="BN234" s="33"/>
      <c r="BO234" s="33"/>
      <c r="BP234" s="55"/>
      <c r="BQ234" s="10"/>
    </row>
    <row r="235" spans="1:69" s="10" customFormat="1" ht="11.25" hidden="1">
      <c r="A235" s="25" t="str">
        <f>"10190"</f>
        <v>10190</v>
      </c>
      <c r="B235" s="58"/>
      <c r="C235" s="99" t="str">
        <f t="shared" si="11"/>
        <v>MŰANYAG SPIRÁL</v>
      </c>
      <c r="D235" s="99" t="str">
        <f>"12,5 MM-ES"</f>
        <v>12,5 MM-ES</v>
      </c>
      <c r="E235" s="5"/>
      <c r="F235" s="5"/>
      <c r="G235" s="5"/>
      <c r="H235" s="28"/>
      <c r="I235" s="5"/>
      <c r="J235" s="5"/>
      <c r="K235" s="5"/>
      <c r="L235" s="5"/>
      <c r="M235" s="5"/>
      <c r="N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13"/>
      <c r="AE235" s="5"/>
      <c r="AF235" s="5"/>
      <c r="AG235" s="5"/>
      <c r="AH235" s="5"/>
      <c r="AI235" s="5"/>
      <c r="AJ235" s="5"/>
      <c r="AK235" s="5"/>
      <c r="AL235" s="5"/>
      <c r="AM235" s="5"/>
      <c r="AN235" s="28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33">
        <f t="shared" si="10"/>
        <v>0</v>
      </c>
      <c r="BN235" s="28"/>
      <c r="BO235" s="28"/>
      <c r="BP235" s="58"/>
      <c r="BQ235" s="9"/>
    </row>
    <row r="236" spans="1:69" s="9" customFormat="1" ht="11.25" hidden="1">
      <c r="A236" s="25" t="str">
        <f>"09842"</f>
        <v>09842</v>
      </c>
      <c r="B236" s="58"/>
      <c r="C236" s="99" t="str">
        <f t="shared" si="11"/>
        <v>MŰANYAG SPIRÁL</v>
      </c>
      <c r="D236" s="99" t="str">
        <f>"16 MM-ES"</f>
        <v>16 MM-ES</v>
      </c>
      <c r="E236" s="6"/>
      <c r="F236" s="6"/>
      <c r="G236" s="6"/>
      <c r="H236" s="28"/>
      <c r="I236" s="6"/>
      <c r="J236" s="6"/>
      <c r="K236" s="6"/>
      <c r="L236" s="6"/>
      <c r="M236" s="6"/>
      <c r="N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14"/>
      <c r="AE236" s="6"/>
      <c r="AF236" s="6"/>
      <c r="AG236" s="6"/>
      <c r="AH236" s="6"/>
      <c r="AI236" s="6"/>
      <c r="AJ236" s="6"/>
      <c r="AK236" s="6"/>
      <c r="AL236" s="6"/>
      <c r="AM236" s="6"/>
      <c r="AN236" s="28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33">
        <f t="shared" si="10"/>
        <v>0</v>
      </c>
      <c r="BN236" s="33"/>
      <c r="BO236" s="33"/>
      <c r="BP236" s="55"/>
      <c r="BQ236" s="10"/>
    </row>
    <row r="237" spans="1:68" s="10" customFormat="1" ht="11.25" hidden="1">
      <c r="A237" s="25" t="str">
        <f>"10189"</f>
        <v>10189</v>
      </c>
      <c r="B237" s="58"/>
      <c r="C237" s="99" t="str">
        <f t="shared" si="11"/>
        <v>MŰANYAG SPIRÁL</v>
      </c>
      <c r="D237" s="99" t="str">
        <f>"25 MM-ES"</f>
        <v>25 MM-ES</v>
      </c>
      <c r="E237" s="5"/>
      <c r="F237" s="5"/>
      <c r="G237" s="5"/>
      <c r="H237" s="28"/>
      <c r="I237" s="5"/>
      <c r="J237" s="5"/>
      <c r="K237" s="5"/>
      <c r="L237" s="5"/>
      <c r="M237" s="5"/>
      <c r="N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13"/>
      <c r="AE237" s="5"/>
      <c r="AF237" s="5"/>
      <c r="AG237" s="5"/>
      <c r="AH237" s="5"/>
      <c r="AI237" s="5"/>
      <c r="AJ237" s="5"/>
      <c r="AK237" s="5"/>
      <c r="AL237" s="5"/>
      <c r="AM237" s="5"/>
      <c r="AN237" s="28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33">
        <f t="shared" si="10"/>
        <v>0</v>
      </c>
      <c r="BN237" s="28"/>
      <c r="BO237" s="28"/>
      <c r="BP237" s="58"/>
    </row>
    <row r="238" spans="1:69" s="10" customFormat="1" ht="11.25" hidden="1">
      <c r="A238" s="25" t="str">
        <f>"13755"</f>
        <v>13755</v>
      </c>
      <c r="B238" s="58"/>
      <c r="C238" s="99" t="str">
        <f t="shared" si="11"/>
        <v>MŰANYAG SPIRÁL</v>
      </c>
      <c r="D238" s="99" t="str">
        <f>"28 MM-ES"</f>
        <v>28 MM-ES</v>
      </c>
      <c r="E238" s="5"/>
      <c r="F238" s="5"/>
      <c r="G238" s="5"/>
      <c r="H238" s="28"/>
      <c r="I238" s="5"/>
      <c r="J238" s="5"/>
      <c r="K238" s="5"/>
      <c r="L238" s="5"/>
      <c r="M238" s="5"/>
      <c r="N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13"/>
      <c r="AE238" s="5"/>
      <c r="AF238" s="5"/>
      <c r="AG238" s="5"/>
      <c r="AH238" s="5"/>
      <c r="AI238" s="5"/>
      <c r="AJ238" s="5"/>
      <c r="AK238" s="5"/>
      <c r="AL238" s="5"/>
      <c r="AM238" s="5"/>
      <c r="AN238" s="28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33">
        <f t="shared" si="10"/>
        <v>0</v>
      </c>
      <c r="BN238" s="28"/>
      <c r="BO238" s="28"/>
      <c r="BP238" s="58"/>
      <c r="BQ238" s="9"/>
    </row>
    <row r="239" spans="1:69" s="9" customFormat="1" ht="11.25" hidden="1">
      <c r="A239" s="25" t="str">
        <f>"12530"</f>
        <v>12530</v>
      </c>
      <c r="B239" s="58"/>
      <c r="C239" s="99" t="str">
        <f>"MŰANYAG TÁBLA 160X100MM."</f>
        <v>MŰANYAG TÁBLA 160X100MM.</v>
      </c>
      <c r="D239" s="99"/>
      <c r="E239" s="6"/>
      <c r="F239" s="6"/>
      <c r="G239" s="6"/>
      <c r="H239" s="28"/>
      <c r="I239" s="6"/>
      <c r="J239" s="6"/>
      <c r="K239" s="6"/>
      <c r="L239" s="6"/>
      <c r="M239" s="6"/>
      <c r="N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14"/>
      <c r="AE239" s="6"/>
      <c r="AF239" s="6"/>
      <c r="AG239" s="6"/>
      <c r="AH239" s="6"/>
      <c r="AI239" s="6"/>
      <c r="AJ239" s="6"/>
      <c r="AK239" s="6"/>
      <c r="AL239" s="6"/>
      <c r="AM239" s="6"/>
      <c r="AN239" s="28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33">
        <f t="shared" si="10"/>
        <v>0</v>
      </c>
      <c r="BN239" s="33"/>
      <c r="BO239" s="33"/>
      <c r="BP239" s="55"/>
      <c r="BQ239" s="10"/>
    </row>
    <row r="240" spans="1:69" s="10" customFormat="1" ht="11.25" hidden="1">
      <c r="A240" s="25" t="str">
        <f>"12443"</f>
        <v>12443</v>
      </c>
      <c r="B240" s="58"/>
      <c r="C240" s="99" t="str">
        <f>"NAPTÁRHÁT (ASZTALI)"</f>
        <v>NAPTÁRHÁT (ASZTALI)</v>
      </c>
      <c r="D240" s="99"/>
      <c r="E240" s="5"/>
      <c r="F240" s="5"/>
      <c r="G240" s="5"/>
      <c r="H240" s="28"/>
      <c r="I240" s="5"/>
      <c r="J240" s="5"/>
      <c r="K240" s="5"/>
      <c r="L240" s="5"/>
      <c r="M240" s="5"/>
      <c r="N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13"/>
      <c r="AE240" s="5"/>
      <c r="AF240" s="5"/>
      <c r="AG240" s="5"/>
      <c r="AH240" s="5"/>
      <c r="AI240" s="5"/>
      <c r="AJ240" s="5"/>
      <c r="AK240" s="5"/>
      <c r="AL240" s="5"/>
      <c r="AM240" s="5"/>
      <c r="AN240" s="28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33">
        <f t="shared" si="10"/>
        <v>0</v>
      </c>
      <c r="BN240" s="33"/>
      <c r="BO240" s="28"/>
      <c r="BP240" s="58"/>
      <c r="BQ240" s="9"/>
    </row>
    <row r="241" spans="1:68" s="9" customFormat="1" ht="11.25" hidden="1">
      <c r="A241" s="25" t="str">
        <f>"09811"</f>
        <v>09811</v>
      </c>
      <c r="B241" s="58"/>
      <c r="C241" s="99" t="str">
        <f>"NÉVJEGYKARTON"</f>
        <v>NÉVJEGYKARTON</v>
      </c>
      <c r="D241" s="99" t="str">
        <f>"A/4"</f>
        <v>A/4</v>
      </c>
      <c r="E241" s="6"/>
      <c r="F241" s="6"/>
      <c r="G241" s="6"/>
      <c r="H241" s="28"/>
      <c r="I241" s="6"/>
      <c r="J241" s="6"/>
      <c r="K241" s="6"/>
      <c r="L241" s="6"/>
      <c r="M241" s="6"/>
      <c r="N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14"/>
      <c r="AE241" s="6"/>
      <c r="AF241" s="6"/>
      <c r="AG241" s="6"/>
      <c r="AH241" s="6"/>
      <c r="AI241" s="6"/>
      <c r="AJ241" s="6"/>
      <c r="AK241" s="6"/>
      <c r="AL241" s="6"/>
      <c r="AM241" s="6"/>
      <c r="AN241" s="28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33">
        <f t="shared" si="10"/>
        <v>0</v>
      </c>
      <c r="BN241" s="33"/>
      <c r="BO241" s="33"/>
      <c r="BP241" s="55"/>
    </row>
    <row r="242" spans="1:68" s="9" customFormat="1" ht="11.25" hidden="1">
      <c r="A242" s="25" t="str">
        <f>"09754"</f>
        <v>09754</v>
      </c>
      <c r="B242" s="58"/>
      <c r="C242" s="99" t="s">
        <v>28</v>
      </c>
      <c r="D242" s="99" t="s">
        <v>27</v>
      </c>
      <c r="E242" s="6"/>
      <c r="F242" s="6"/>
      <c r="G242" s="6"/>
      <c r="H242" s="28"/>
      <c r="I242" s="6"/>
      <c r="J242" s="6"/>
      <c r="K242" s="6"/>
      <c r="L242" s="6"/>
      <c r="M242" s="6"/>
      <c r="N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14"/>
      <c r="AE242" s="6"/>
      <c r="AF242" s="6"/>
      <c r="AG242" s="6"/>
      <c r="AH242" s="6"/>
      <c r="AI242" s="6"/>
      <c r="AJ242" s="6"/>
      <c r="AK242" s="6"/>
      <c r="AL242" s="6"/>
      <c r="AM242" s="6"/>
      <c r="AN242" s="28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33">
        <f t="shared" si="10"/>
        <v>0</v>
      </c>
      <c r="BN242" s="33"/>
      <c r="BO242" s="33"/>
      <c r="BP242" s="55"/>
    </row>
    <row r="243" spans="1:68" s="9" customFormat="1" ht="11.25" hidden="1">
      <c r="A243" s="25" t="str">
        <f>"11017"</f>
        <v>11017</v>
      </c>
      <c r="B243" s="58"/>
      <c r="C243" s="99" t="str">
        <f>"NÉVKITŰZŐ (SAKURA)"</f>
        <v>NÉVKITŰZŐ (SAKURA)</v>
      </c>
      <c r="D243" s="99" t="str">
        <f>"5X9 CM"</f>
        <v>5X9 CM</v>
      </c>
      <c r="E243" s="6"/>
      <c r="F243" s="6"/>
      <c r="G243" s="6"/>
      <c r="H243" s="28"/>
      <c r="I243" s="6"/>
      <c r="J243" s="6"/>
      <c r="K243" s="6"/>
      <c r="L243" s="6"/>
      <c r="M243" s="6"/>
      <c r="N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14"/>
      <c r="AE243" s="6"/>
      <c r="AF243" s="6"/>
      <c r="AG243" s="6"/>
      <c r="AH243" s="6"/>
      <c r="AI243" s="6"/>
      <c r="AJ243" s="6"/>
      <c r="AK243" s="6"/>
      <c r="AL243" s="6"/>
      <c r="AM243" s="6"/>
      <c r="AN243" s="28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33">
        <f t="shared" si="10"/>
        <v>0</v>
      </c>
      <c r="BN243" s="33"/>
      <c r="BO243" s="33"/>
      <c r="BP243" s="55"/>
    </row>
    <row r="244" spans="1:68" s="9" customFormat="1" ht="22.5" hidden="1">
      <c r="A244" s="25" t="str">
        <f>"09467"</f>
        <v>09467</v>
      </c>
      <c r="B244" s="58"/>
      <c r="C244" s="99" t="str">
        <f>"NOTESZ (ÖNTAPADÓS) POS-IT INDEX"</f>
        <v>NOTESZ (ÖNTAPADÓS) POS-IT INDEX</v>
      </c>
      <c r="D244" s="99" t="str">
        <f>"4X35 LAP 11,9X43,1"</f>
        <v>4X35 LAP 11,9X43,1</v>
      </c>
      <c r="E244" s="6"/>
      <c r="F244" s="6"/>
      <c r="G244" s="6"/>
      <c r="H244" s="28"/>
      <c r="I244" s="6"/>
      <c r="J244" s="6"/>
      <c r="K244" s="6"/>
      <c r="L244" s="6"/>
      <c r="M244" s="6"/>
      <c r="N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14"/>
      <c r="AE244" s="6"/>
      <c r="AF244" s="6"/>
      <c r="AG244" s="6"/>
      <c r="AH244" s="6"/>
      <c r="AI244" s="6"/>
      <c r="AJ244" s="6"/>
      <c r="AK244" s="6"/>
      <c r="AL244" s="6"/>
      <c r="AM244" s="6"/>
      <c r="AN244" s="28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33">
        <f t="shared" si="10"/>
        <v>0</v>
      </c>
      <c r="BN244" s="33"/>
      <c r="BO244" s="33"/>
      <c r="BP244" s="55"/>
    </row>
    <row r="245" spans="1:68" s="9" customFormat="1" ht="11.25" hidden="1">
      <c r="A245" s="25" t="str">
        <f>"10186"</f>
        <v>10186</v>
      </c>
      <c r="B245" s="58"/>
      <c r="C245" s="99" t="str">
        <f>"NOTESZ (SPIRÁL)"</f>
        <v>NOTESZ (SPIRÁL)</v>
      </c>
      <c r="D245" s="99" t="str">
        <f>"A/4"</f>
        <v>A/4</v>
      </c>
      <c r="E245" s="6"/>
      <c r="F245" s="6"/>
      <c r="G245" s="6"/>
      <c r="H245" s="28"/>
      <c r="I245" s="6"/>
      <c r="J245" s="6"/>
      <c r="K245" s="6"/>
      <c r="L245" s="6"/>
      <c r="M245" s="6"/>
      <c r="N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14"/>
      <c r="AE245" s="6"/>
      <c r="AF245" s="6"/>
      <c r="AG245" s="6"/>
      <c r="AH245" s="6"/>
      <c r="AI245" s="6"/>
      <c r="AJ245" s="6"/>
      <c r="AK245" s="6"/>
      <c r="AL245" s="6"/>
      <c r="AM245" s="6"/>
      <c r="AN245" s="28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33">
        <f t="shared" si="10"/>
        <v>0</v>
      </c>
      <c r="BN245" s="33"/>
      <c r="BO245" s="33"/>
      <c r="BP245" s="55"/>
    </row>
    <row r="246" spans="1:68" s="9" customFormat="1" ht="11.25" hidden="1">
      <c r="A246" s="25" t="str">
        <f>"14460"</f>
        <v>14460</v>
      </c>
      <c r="B246" s="58"/>
      <c r="C246" s="99" t="str">
        <f>"NOTESZ (SPIRÁL)"</f>
        <v>NOTESZ (SPIRÁL)</v>
      </c>
      <c r="D246" s="99" t="str">
        <f>"A/5"</f>
        <v>A/5</v>
      </c>
      <c r="E246" s="6"/>
      <c r="F246" s="6"/>
      <c r="G246" s="6"/>
      <c r="H246" s="28"/>
      <c r="I246" s="6"/>
      <c r="J246" s="6"/>
      <c r="K246" s="6"/>
      <c r="L246" s="6"/>
      <c r="M246" s="6"/>
      <c r="N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14"/>
      <c r="AE246" s="6"/>
      <c r="AF246" s="6"/>
      <c r="AG246" s="6"/>
      <c r="AH246" s="6"/>
      <c r="AI246" s="6"/>
      <c r="AJ246" s="6"/>
      <c r="AK246" s="6"/>
      <c r="AL246" s="6"/>
      <c r="AM246" s="6"/>
      <c r="AN246" s="28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33">
        <f t="shared" si="10"/>
        <v>0</v>
      </c>
      <c r="BN246" s="33"/>
      <c r="BO246" s="33"/>
      <c r="BP246" s="55"/>
    </row>
    <row r="247" spans="1:69" s="9" customFormat="1" ht="11.25" hidden="1">
      <c r="A247" s="25" t="str">
        <f>"08398"</f>
        <v>08398</v>
      </c>
      <c r="B247" s="58"/>
      <c r="C247" s="99" t="str">
        <f>"NOTESZ (SPIRÁL)"</f>
        <v>NOTESZ (SPIRÁL)</v>
      </c>
      <c r="D247" s="99" t="str">
        <f>"A/6"</f>
        <v>A/6</v>
      </c>
      <c r="E247" s="6"/>
      <c r="F247" s="6"/>
      <c r="G247" s="6"/>
      <c r="H247" s="28"/>
      <c r="I247" s="6"/>
      <c r="J247" s="6"/>
      <c r="K247" s="6"/>
      <c r="L247" s="6"/>
      <c r="M247" s="6"/>
      <c r="N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14"/>
      <c r="AE247" s="6"/>
      <c r="AF247" s="6"/>
      <c r="AG247" s="6"/>
      <c r="AH247" s="6"/>
      <c r="AI247" s="6"/>
      <c r="AJ247" s="6"/>
      <c r="AK247" s="6"/>
      <c r="AL247" s="6"/>
      <c r="AM247" s="6"/>
      <c r="AN247" s="28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33">
        <f t="shared" si="10"/>
        <v>0</v>
      </c>
      <c r="BN247" s="33"/>
      <c r="BO247" s="33"/>
      <c r="BP247" s="55"/>
      <c r="BQ247" s="10"/>
    </row>
    <row r="248" spans="1:68" s="10" customFormat="1" ht="22.5" hidden="1">
      <c r="A248" s="25" t="str">
        <f>"07439"</f>
        <v>07439</v>
      </c>
      <c r="B248" s="58"/>
      <c r="C248" s="99" t="str">
        <f>"NYUGTA (EGYSOROS) 50X2 LAPOS TÖMB"</f>
        <v>NYUGTA (EGYSOROS) 50X2 LAPOS TÖMB</v>
      </c>
      <c r="D248" s="99" t="str">
        <f>"B.15-40"</f>
        <v>B.15-40</v>
      </c>
      <c r="E248" s="5"/>
      <c r="F248" s="5"/>
      <c r="G248" s="5"/>
      <c r="H248" s="28"/>
      <c r="I248" s="5"/>
      <c r="J248" s="5"/>
      <c r="K248" s="5"/>
      <c r="L248" s="5"/>
      <c r="M248" s="5"/>
      <c r="N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13"/>
      <c r="AE248" s="5"/>
      <c r="AF248" s="5"/>
      <c r="AG248" s="5"/>
      <c r="AH248" s="5"/>
      <c r="AI248" s="5"/>
      <c r="AJ248" s="5"/>
      <c r="AK248" s="5"/>
      <c r="AL248" s="5"/>
      <c r="AM248" s="5"/>
      <c r="AN248" s="28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33">
        <f t="shared" si="10"/>
        <v>0</v>
      </c>
      <c r="BN248" s="33"/>
      <c r="BO248" s="28"/>
      <c r="BP248" s="58"/>
    </row>
    <row r="249" spans="1:68" s="10" customFormat="1" ht="11.25" hidden="1">
      <c r="A249" s="25" t="str">
        <f>"11738"</f>
        <v>11738</v>
      </c>
      <c r="B249" s="58"/>
      <c r="C249" s="99" t="str">
        <f>"OEP IGAZOLVÁNY"</f>
        <v>OEP IGAZOLVÁNY</v>
      </c>
      <c r="D249" s="99"/>
      <c r="E249" s="5"/>
      <c r="F249" s="5"/>
      <c r="G249" s="5"/>
      <c r="H249" s="28"/>
      <c r="I249" s="5"/>
      <c r="J249" s="5"/>
      <c r="K249" s="5"/>
      <c r="L249" s="5"/>
      <c r="M249" s="5"/>
      <c r="N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13"/>
      <c r="AE249" s="5"/>
      <c r="AF249" s="5"/>
      <c r="AG249" s="5"/>
      <c r="AH249" s="5"/>
      <c r="AI249" s="5"/>
      <c r="AJ249" s="5"/>
      <c r="AK249" s="5"/>
      <c r="AL249" s="5"/>
      <c r="AM249" s="5"/>
      <c r="AN249" s="28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33">
        <f t="shared" si="10"/>
        <v>0</v>
      </c>
      <c r="BN249" s="28"/>
      <c r="BO249" s="28"/>
      <c r="BP249" s="58"/>
    </row>
    <row r="250" spans="1:69" s="10" customFormat="1" ht="11.25" hidden="1">
      <c r="A250" s="25" t="str">
        <f>"09948"</f>
        <v>09948</v>
      </c>
      <c r="B250" s="58"/>
      <c r="C250" s="99" t="str">
        <f>"OKLEVÉL (ÁLLTALÁNOS)"</f>
        <v>OKLEVÉL (ÁLLTALÁNOS)</v>
      </c>
      <c r="D250" s="99" t="str">
        <f>"A/4"</f>
        <v>A/4</v>
      </c>
      <c r="E250" s="5"/>
      <c r="F250" s="5"/>
      <c r="G250" s="5"/>
      <c r="H250" s="28"/>
      <c r="I250" s="5"/>
      <c r="J250" s="5"/>
      <c r="K250" s="5"/>
      <c r="L250" s="5"/>
      <c r="M250" s="5"/>
      <c r="N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13"/>
      <c r="AE250" s="5"/>
      <c r="AF250" s="5"/>
      <c r="AG250" s="5"/>
      <c r="AH250" s="5"/>
      <c r="AI250" s="5"/>
      <c r="AJ250" s="5"/>
      <c r="AK250" s="5"/>
      <c r="AL250" s="5"/>
      <c r="AM250" s="5"/>
      <c r="AN250" s="28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33">
        <f t="shared" si="10"/>
        <v>0</v>
      </c>
      <c r="BN250" s="28"/>
      <c r="BO250" s="28"/>
      <c r="BP250" s="58"/>
      <c r="BQ250" s="9"/>
    </row>
    <row r="251" spans="1:68" s="9" customFormat="1" ht="11.25" hidden="1">
      <c r="A251" s="25" t="str">
        <f>"12392"</f>
        <v>12392</v>
      </c>
      <c r="B251" s="58"/>
      <c r="C251" s="99" t="str">
        <f>"OKMÁNYHENGER"</f>
        <v>OKMÁNYHENGER</v>
      </c>
      <c r="D251" s="99"/>
      <c r="E251" s="6"/>
      <c r="F251" s="6"/>
      <c r="G251" s="6"/>
      <c r="H251" s="28"/>
      <c r="I251" s="6"/>
      <c r="J251" s="6"/>
      <c r="K251" s="6"/>
      <c r="L251" s="6"/>
      <c r="M251" s="6"/>
      <c r="N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14"/>
      <c r="AE251" s="6"/>
      <c r="AF251" s="6"/>
      <c r="AG251" s="6"/>
      <c r="AH251" s="6"/>
      <c r="AI251" s="6"/>
      <c r="AJ251" s="6"/>
      <c r="AK251" s="6"/>
      <c r="AL251" s="6"/>
      <c r="AM251" s="6"/>
      <c r="AN251" s="28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33">
        <f t="shared" si="10"/>
        <v>0</v>
      </c>
      <c r="BN251" s="33"/>
      <c r="BO251" s="33"/>
      <c r="BP251" s="55"/>
    </row>
    <row r="252" spans="1:68" s="9" customFormat="1" ht="11.25" hidden="1">
      <c r="A252" s="25" t="str">
        <f>"08090"</f>
        <v>08090</v>
      </c>
      <c r="B252" s="58"/>
      <c r="C252" s="99" t="str">
        <f>"OLLÓ (PAPÍRVÁGÓ)"</f>
        <v>OLLÓ (PAPÍRVÁGÓ)</v>
      </c>
      <c r="D252" s="99" t="str">
        <f>"12CM"</f>
        <v>12CM</v>
      </c>
      <c r="E252" s="6"/>
      <c r="F252" s="6"/>
      <c r="G252" s="6"/>
      <c r="H252" s="28"/>
      <c r="I252" s="6"/>
      <c r="J252" s="6"/>
      <c r="K252" s="6"/>
      <c r="L252" s="6"/>
      <c r="M252" s="6"/>
      <c r="N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14"/>
      <c r="AE252" s="6"/>
      <c r="AF252" s="6"/>
      <c r="AG252" s="6"/>
      <c r="AH252" s="6"/>
      <c r="AI252" s="6"/>
      <c r="AJ252" s="6"/>
      <c r="AK252" s="6"/>
      <c r="AL252" s="6"/>
      <c r="AM252" s="6"/>
      <c r="AN252" s="28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33">
        <f t="shared" si="10"/>
        <v>0</v>
      </c>
      <c r="BN252" s="33"/>
      <c r="BO252" s="33"/>
      <c r="BP252" s="55"/>
    </row>
    <row r="253" spans="1:68" s="9" customFormat="1" ht="22.5">
      <c r="A253" s="25" t="str">
        <f>"07489"</f>
        <v>07489</v>
      </c>
      <c r="B253" s="58" t="s">
        <v>314</v>
      </c>
      <c r="C253" s="99" t="s">
        <v>64</v>
      </c>
      <c r="D253" s="99" t="s">
        <v>108</v>
      </c>
      <c r="E253" s="6"/>
      <c r="F253" s="6"/>
      <c r="G253" s="6"/>
      <c r="H253" s="28"/>
      <c r="I253" s="6"/>
      <c r="J253" s="6">
        <v>3</v>
      </c>
      <c r="K253" s="6"/>
      <c r="L253" s="6"/>
      <c r="M253" s="6"/>
      <c r="N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14"/>
      <c r="AE253" s="6"/>
      <c r="AF253" s="6"/>
      <c r="AG253" s="6"/>
      <c r="AH253" s="6"/>
      <c r="AI253" s="6"/>
      <c r="AJ253" s="6"/>
      <c r="AK253" s="6"/>
      <c r="AL253" s="6"/>
      <c r="AM253" s="6"/>
      <c r="AN253" s="28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33">
        <f t="shared" si="10"/>
        <v>3</v>
      </c>
      <c r="BN253" s="33" t="s">
        <v>38</v>
      </c>
      <c r="BO253" s="33"/>
      <c r="BP253" s="55"/>
    </row>
    <row r="254" spans="1:68" s="9" customFormat="1" ht="11.25" hidden="1">
      <c r="A254" s="25" t="str">
        <f aca="true" t="shared" si="12" ref="A254:A269">"07654"</f>
        <v>07654</v>
      </c>
      <c r="B254" s="58"/>
      <c r="C254" s="99" t="s">
        <v>30</v>
      </c>
      <c r="D254" s="99" t="s">
        <v>29</v>
      </c>
      <c r="E254" s="6"/>
      <c r="F254" s="6"/>
      <c r="G254" s="6"/>
      <c r="H254" s="28"/>
      <c r="I254" s="6"/>
      <c r="J254" s="6"/>
      <c r="K254" s="6"/>
      <c r="L254" s="6"/>
      <c r="M254" s="6"/>
      <c r="N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14"/>
      <c r="AE254" s="6"/>
      <c r="AF254" s="6"/>
      <c r="AG254" s="6"/>
      <c r="AH254" s="6"/>
      <c r="AI254" s="6"/>
      <c r="AJ254" s="6"/>
      <c r="AK254" s="6"/>
      <c r="AL254" s="6"/>
      <c r="AM254" s="6"/>
      <c r="AN254" s="28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33">
        <f t="shared" si="10"/>
        <v>0</v>
      </c>
      <c r="BN254" s="33"/>
      <c r="BO254" s="33"/>
      <c r="BP254" s="55"/>
    </row>
    <row r="255" spans="1:69" s="9" customFormat="1" ht="11.25" hidden="1">
      <c r="A255" s="25" t="str">
        <f t="shared" si="12"/>
        <v>07654</v>
      </c>
      <c r="B255" s="58"/>
      <c r="C255" s="99" t="str">
        <f>"ORIGAMI LAPOK"</f>
        <v>ORIGAMI LAPOK</v>
      </c>
      <c r="D255" s="99" t="str">
        <f>"B/5"</f>
        <v>B/5</v>
      </c>
      <c r="E255" s="6"/>
      <c r="F255" s="6"/>
      <c r="G255" s="6"/>
      <c r="H255" s="28"/>
      <c r="I255" s="6"/>
      <c r="J255" s="6"/>
      <c r="K255" s="6"/>
      <c r="L255" s="6"/>
      <c r="M255" s="6"/>
      <c r="N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14"/>
      <c r="AE255" s="6"/>
      <c r="AF255" s="6"/>
      <c r="AG255" s="6"/>
      <c r="AH255" s="6"/>
      <c r="AI255" s="6"/>
      <c r="AJ255" s="6"/>
      <c r="AK255" s="6"/>
      <c r="AL255" s="6"/>
      <c r="AM255" s="6"/>
      <c r="AN255" s="28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33">
        <f t="shared" si="10"/>
        <v>0</v>
      </c>
      <c r="BN255" s="33"/>
      <c r="BO255" s="33"/>
      <c r="BP255" s="55"/>
      <c r="BQ255" s="10"/>
    </row>
    <row r="256" spans="1:68" s="10" customFormat="1" ht="22.5" hidden="1">
      <c r="A256" s="25" t="str">
        <f t="shared" si="12"/>
        <v>07654</v>
      </c>
      <c r="B256" s="58"/>
      <c r="C256" s="99" t="str">
        <f>"ORVOSI ALKALMASSÁGI VÉLEM. I. FOKÚ"</f>
        <v>ORVOSI ALKALMASSÁGI VÉLEM. I. FOKÚ</v>
      </c>
      <c r="D256" s="99" t="str">
        <f>"A.3510-216"</f>
        <v>A.3510-216</v>
      </c>
      <c r="E256" s="5"/>
      <c r="F256" s="5"/>
      <c r="G256" s="5"/>
      <c r="H256" s="28"/>
      <c r="I256" s="5"/>
      <c r="J256" s="5"/>
      <c r="K256" s="5"/>
      <c r="L256" s="5"/>
      <c r="M256" s="5"/>
      <c r="N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13"/>
      <c r="AE256" s="5"/>
      <c r="AF256" s="5"/>
      <c r="AG256" s="5"/>
      <c r="AH256" s="5"/>
      <c r="AI256" s="5"/>
      <c r="AJ256" s="5"/>
      <c r="AK256" s="5"/>
      <c r="AL256" s="5"/>
      <c r="AM256" s="5"/>
      <c r="AN256" s="28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33">
        <f t="shared" si="10"/>
        <v>0</v>
      </c>
      <c r="BN256" s="28"/>
      <c r="BO256" s="28"/>
      <c r="BP256" s="58"/>
    </row>
    <row r="257" spans="1:69" s="10" customFormat="1" ht="11.25" hidden="1">
      <c r="A257" s="25" t="str">
        <f t="shared" si="12"/>
        <v>07654</v>
      </c>
      <c r="B257" s="58"/>
      <c r="C257" s="99" t="str">
        <f>"ORVOSI BEUTALÓ (A 3510-217)"</f>
        <v>ORVOSI BEUTALÓ (A 3510-217)</v>
      </c>
      <c r="D257" s="99" t="str">
        <f>"PÁTRIA"</f>
        <v>PÁTRIA</v>
      </c>
      <c r="E257" s="5"/>
      <c r="F257" s="5"/>
      <c r="G257" s="5"/>
      <c r="H257" s="28"/>
      <c r="I257" s="5"/>
      <c r="J257" s="5"/>
      <c r="K257" s="5"/>
      <c r="L257" s="5"/>
      <c r="M257" s="5"/>
      <c r="N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13"/>
      <c r="AE257" s="5"/>
      <c r="AF257" s="5"/>
      <c r="AG257" s="5"/>
      <c r="AH257" s="5"/>
      <c r="AI257" s="5"/>
      <c r="AJ257" s="5"/>
      <c r="AK257" s="5"/>
      <c r="AL257" s="5"/>
      <c r="AM257" s="5"/>
      <c r="AN257" s="28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33">
        <f t="shared" si="10"/>
        <v>0</v>
      </c>
      <c r="BN257" s="28"/>
      <c r="BO257" s="28"/>
      <c r="BP257" s="58"/>
      <c r="BQ257" s="9"/>
    </row>
    <row r="258" spans="1:68" s="9" customFormat="1" ht="11.25" hidden="1">
      <c r="A258" s="25" t="str">
        <f t="shared" si="12"/>
        <v>07654</v>
      </c>
      <c r="B258" s="58"/>
      <c r="C258" s="99" t="str">
        <f>"ÖNTAPADÓS CIMKE"</f>
        <v>ÖNTAPADÓS CIMKE</v>
      </c>
      <c r="D258" s="99"/>
      <c r="E258" s="6"/>
      <c r="F258" s="6"/>
      <c r="G258" s="6"/>
      <c r="H258" s="28"/>
      <c r="I258" s="6"/>
      <c r="J258" s="6"/>
      <c r="K258" s="6"/>
      <c r="L258" s="6"/>
      <c r="M258" s="6"/>
      <c r="N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14"/>
      <c r="AE258" s="6"/>
      <c r="AF258" s="6"/>
      <c r="AG258" s="6"/>
      <c r="AH258" s="6"/>
      <c r="AI258" s="6"/>
      <c r="AJ258" s="6"/>
      <c r="AK258" s="6"/>
      <c r="AL258" s="6"/>
      <c r="AM258" s="6"/>
      <c r="AN258" s="28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33">
        <f t="shared" si="10"/>
        <v>0</v>
      </c>
      <c r="BN258" s="33"/>
      <c r="BO258" s="33"/>
      <c r="BP258" s="55"/>
    </row>
    <row r="259" spans="1:68" s="9" customFormat="1" ht="11.25" hidden="1">
      <c r="A259" s="25" t="str">
        <f t="shared" si="12"/>
        <v>07654</v>
      </c>
      <c r="B259" s="58"/>
      <c r="C259" s="99" t="str">
        <f>"ÖNTAPADÓS CIMKE  100X60MM."</f>
        <v>ÖNTAPADÓS CIMKE  100X60MM.</v>
      </c>
      <c r="D259" s="99"/>
      <c r="E259" s="6"/>
      <c r="F259" s="6"/>
      <c r="G259" s="6"/>
      <c r="H259" s="28"/>
      <c r="I259" s="6"/>
      <c r="J259" s="6"/>
      <c r="K259" s="6"/>
      <c r="L259" s="6"/>
      <c r="M259" s="6"/>
      <c r="N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14"/>
      <c r="AE259" s="6"/>
      <c r="AF259" s="6"/>
      <c r="AG259" s="6"/>
      <c r="AH259" s="6"/>
      <c r="AI259" s="6"/>
      <c r="AJ259" s="6"/>
      <c r="AK259" s="6"/>
      <c r="AL259" s="6"/>
      <c r="AM259" s="6"/>
      <c r="AN259" s="28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33">
        <f t="shared" si="10"/>
        <v>0</v>
      </c>
      <c r="BN259" s="33"/>
      <c r="BO259" s="33"/>
      <c r="BP259" s="55"/>
    </row>
    <row r="260" spans="1:68" s="9" customFormat="1" ht="11.25" hidden="1">
      <c r="A260" s="25" t="str">
        <f t="shared" si="12"/>
        <v>07654</v>
      </c>
      <c r="B260" s="58"/>
      <c r="C260" s="99" t="str">
        <f>"ÖNTAPADÓS CIMKE  20X20MM."</f>
        <v>ÖNTAPADÓS CIMKE  20X20MM.</v>
      </c>
      <c r="D260" s="99"/>
      <c r="E260" s="6"/>
      <c r="F260" s="6"/>
      <c r="G260" s="6"/>
      <c r="H260" s="28"/>
      <c r="I260" s="6"/>
      <c r="J260" s="6"/>
      <c r="K260" s="6"/>
      <c r="L260" s="6"/>
      <c r="M260" s="6"/>
      <c r="N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14"/>
      <c r="AE260" s="6"/>
      <c r="AF260" s="6"/>
      <c r="AG260" s="6"/>
      <c r="AH260" s="6"/>
      <c r="AI260" s="6"/>
      <c r="AJ260" s="6"/>
      <c r="AK260" s="6"/>
      <c r="AL260" s="6"/>
      <c r="AM260" s="6"/>
      <c r="AN260" s="28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33">
        <f t="shared" si="10"/>
        <v>0</v>
      </c>
      <c r="BN260" s="33"/>
      <c r="BO260" s="33"/>
      <c r="BP260" s="55"/>
    </row>
    <row r="261" spans="1:68" s="9" customFormat="1" ht="11.25" hidden="1">
      <c r="A261" s="25" t="str">
        <f t="shared" si="12"/>
        <v>07654</v>
      </c>
      <c r="B261" s="58"/>
      <c r="C261" s="99" t="str">
        <f>"ÖNTAPADÓS JEGYZET"</f>
        <v>ÖNTAPADÓS JEGYZET</v>
      </c>
      <c r="D261" s="99"/>
      <c r="E261" s="6"/>
      <c r="F261" s="6"/>
      <c r="G261" s="6"/>
      <c r="H261" s="28"/>
      <c r="I261" s="6"/>
      <c r="J261" s="6"/>
      <c r="K261" s="6"/>
      <c r="L261" s="6"/>
      <c r="M261" s="6"/>
      <c r="N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14"/>
      <c r="AE261" s="6"/>
      <c r="AF261" s="6"/>
      <c r="AG261" s="6"/>
      <c r="AH261" s="6"/>
      <c r="AI261" s="6"/>
      <c r="AJ261" s="6"/>
      <c r="AK261" s="6"/>
      <c r="AL261" s="6"/>
      <c r="AM261" s="6"/>
      <c r="AN261" s="28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33">
        <f t="shared" si="10"/>
        <v>0</v>
      </c>
      <c r="BN261" s="33"/>
      <c r="BO261" s="33"/>
      <c r="BP261" s="55"/>
    </row>
    <row r="262" spans="1:68" s="9" customFormat="1" ht="11.25" hidden="1">
      <c r="A262" s="25" t="str">
        <f t="shared" si="12"/>
        <v>07654</v>
      </c>
      <c r="B262" s="58"/>
      <c r="C262" s="99" t="str">
        <f>"ÖNTAPADÓS SZÁM"</f>
        <v>ÖNTAPADÓS SZÁM</v>
      </c>
      <c r="D262" s="99"/>
      <c r="E262" s="6"/>
      <c r="F262" s="6"/>
      <c r="G262" s="6"/>
      <c r="H262" s="28"/>
      <c r="I262" s="6"/>
      <c r="J262" s="6"/>
      <c r="K262" s="6"/>
      <c r="L262" s="6"/>
      <c r="M262" s="6"/>
      <c r="N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14"/>
      <c r="AE262" s="6"/>
      <c r="AF262" s="6"/>
      <c r="AG262" s="6"/>
      <c r="AH262" s="6"/>
      <c r="AI262" s="6"/>
      <c r="AJ262" s="6"/>
      <c r="AK262" s="6"/>
      <c r="AL262" s="6"/>
      <c r="AM262" s="6"/>
      <c r="AN262" s="28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33">
        <f t="shared" si="10"/>
        <v>0</v>
      </c>
      <c r="BN262" s="33"/>
      <c r="BO262" s="33"/>
      <c r="BP262" s="55"/>
    </row>
    <row r="263" spans="1:68" s="9" customFormat="1" ht="11.25" hidden="1">
      <c r="A263" s="25" t="str">
        <f t="shared" si="12"/>
        <v>07654</v>
      </c>
      <c r="B263" s="58"/>
      <c r="C263" s="99" t="str">
        <f>"PAPÍRVÁGÓ KÉS"</f>
        <v>PAPÍRVÁGÓ KÉS</v>
      </c>
      <c r="D263" s="99"/>
      <c r="E263" s="6"/>
      <c r="F263" s="6"/>
      <c r="G263" s="6"/>
      <c r="H263" s="28"/>
      <c r="I263" s="6"/>
      <c r="J263" s="6"/>
      <c r="K263" s="6"/>
      <c r="L263" s="6"/>
      <c r="M263" s="6"/>
      <c r="N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14"/>
      <c r="AE263" s="6"/>
      <c r="AF263" s="6"/>
      <c r="AG263" s="6"/>
      <c r="AH263" s="6"/>
      <c r="AI263" s="6"/>
      <c r="AJ263" s="6"/>
      <c r="AK263" s="6"/>
      <c r="AL263" s="6"/>
      <c r="AM263" s="6"/>
      <c r="AN263" s="28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33">
        <f t="shared" si="10"/>
        <v>0</v>
      </c>
      <c r="BN263" s="33"/>
      <c r="BO263" s="33"/>
      <c r="BP263" s="55"/>
    </row>
    <row r="264" spans="1:68" s="9" customFormat="1" ht="11.25" hidden="1">
      <c r="A264" s="25" t="str">
        <f t="shared" si="12"/>
        <v>07654</v>
      </c>
      <c r="B264" s="58"/>
      <c r="C264" s="99" t="str">
        <f>"PARAFA TÁBLA"</f>
        <v>PARAFA TÁBLA</v>
      </c>
      <c r="D264" s="99" t="str">
        <f>"400X600 MM"</f>
        <v>400X600 MM</v>
      </c>
      <c r="E264" s="6"/>
      <c r="F264" s="6"/>
      <c r="G264" s="6"/>
      <c r="H264" s="28"/>
      <c r="I264" s="6"/>
      <c r="J264" s="6"/>
      <c r="K264" s="6"/>
      <c r="L264" s="6"/>
      <c r="M264" s="6"/>
      <c r="N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14"/>
      <c r="AE264" s="6"/>
      <c r="AF264" s="6"/>
      <c r="AG264" s="6"/>
      <c r="AH264" s="6"/>
      <c r="AI264" s="6"/>
      <c r="AJ264" s="6"/>
      <c r="AK264" s="6"/>
      <c r="AL264" s="6"/>
      <c r="AM264" s="6"/>
      <c r="AN264" s="28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33">
        <f aca="true" t="shared" si="13" ref="BM264:BM308">SUM(E264:BL264)</f>
        <v>0</v>
      </c>
      <c r="BN264" s="33"/>
      <c r="BO264" s="33"/>
      <c r="BP264" s="55"/>
    </row>
    <row r="265" spans="1:68" s="9" customFormat="1" ht="11.25" hidden="1">
      <c r="A265" s="25" t="str">
        <f t="shared" si="12"/>
        <v>07654</v>
      </c>
      <c r="B265" s="58"/>
      <c r="C265" s="99" t="str">
        <f>"PARAFA TÁBLA"</f>
        <v>PARAFA TÁBLA</v>
      </c>
      <c r="D265" s="99" t="str">
        <f>"600X0900 MM"</f>
        <v>600X0900 MM</v>
      </c>
      <c r="E265" s="6"/>
      <c r="F265" s="6"/>
      <c r="G265" s="6"/>
      <c r="H265" s="28"/>
      <c r="I265" s="6"/>
      <c r="J265" s="6"/>
      <c r="K265" s="6"/>
      <c r="L265" s="6"/>
      <c r="M265" s="6"/>
      <c r="N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14"/>
      <c r="AE265" s="6"/>
      <c r="AF265" s="6"/>
      <c r="AG265" s="6"/>
      <c r="AH265" s="6"/>
      <c r="AI265" s="6"/>
      <c r="AJ265" s="6"/>
      <c r="AK265" s="6"/>
      <c r="AL265" s="6"/>
      <c r="AM265" s="6"/>
      <c r="AN265" s="28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33">
        <f t="shared" si="13"/>
        <v>0</v>
      </c>
      <c r="BN265" s="33"/>
      <c r="BO265" s="33"/>
      <c r="BP265" s="55"/>
    </row>
    <row r="266" spans="1:68" s="9" customFormat="1" ht="11.25" hidden="1">
      <c r="A266" s="25" t="str">
        <f t="shared" si="12"/>
        <v>07654</v>
      </c>
      <c r="B266" s="58"/>
      <c r="C266" s="99" t="str">
        <f>"PARAFA TÁBLA"</f>
        <v>PARAFA TÁBLA</v>
      </c>
      <c r="D266" s="99" t="str">
        <f>"900X1200 MM"</f>
        <v>900X1200 MM</v>
      </c>
      <c r="E266" s="6"/>
      <c r="F266" s="6"/>
      <c r="G266" s="6"/>
      <c r="H266" s="28"/>
      <c r="I266" s="6"/>
      <c r="J266" s="6"/>
      <c r="K266" s="6"/>
      <c r="L266" s="6"/>
      <c r="M266" s="6"/>
      <c r="N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14"/>
      <c r="AE266" s="6"/>
      <c r="AF266" s="6"/>
      <c r="AG266" s="6"/>
      <c r="AH266" s="6"/>
      <c r="AI266" s="6"/>
      <c r="AJ266" s="6"/>
      <c r="AK266" s="6"/>
      <c r="AL266" s="6"/>
      <c r="AM266" s="6"/>
      <c r="AN266" s="28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33">
        <f t="shared" si="13"/>
        <v>0</v>
      </c>
      <c r="BN266" s="33"/>
      <c r="BO266" s="33"/>
      <c r="BP266" s="55"/>
    </row>
    <row r="267" spans="1:68" s="9" customFormat="1" ht="11.25" hidden="1">
      <c r="A267" s="25" t="str">
        <f t="shared" si="12"/>
        <v>07654</v>
      </c>
      <c r="B267" s="58"/>
      <c r="C267" s="99" t="str">
        <f>"PÉNZTÁRGÉP SZALAG"</f>
        <v>PÉNZTÁRGÉP SZALAG</v>
      </c>
      <c r="D267" s="99" t="str">
        <f>"57,5X40 /"</f>
        <v>57,5X40 /</v>
      </c>
      <c r="E267" s="6"/>
      <c r="F267" s="6"/>
      <c r="G267" s="6"/>
      <c r="H267" s="28"/>
      <c r="I267" s="6"/>
      <c r="J267" s="6"/>
      <c r="K267" s="6"/>
      <c r="L267" s="6"/>
      <c r="M267" s="6"/>
      <c r="N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14"/>
      <c r="AE267" s="6"/>
      <c r="AF267" s="6"/>
      <c r="AG267" s="6"/>
      <c r="AH267" s="6"/>
      <c r="AI267" s="6"/>
      <c r="AJ267" s="6"/>
      <c r="AK267" s="6"/>
      <c r="AL267" s="6"/>
      <c r="AM267" s="6"/>
      <c r="AN267" s="28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33">
        <f t="shared" si="13"/>
        <v>0</v>
      </c>
      <c r="BN267" s="33"/>
      <c r="BO267" s="33"/>
      <c r="BP267" s="55"/>
    </row>
    <row r="268" spans="1:68" s="9" customFormat="1" ht="11.25" hidden="1">
      <c r="A268" s="25" t="str">
        <f t="shared" si="12"/>
        <v>07654</v>
      </c>
      <c r="B268" s="58"/>
      <c r="C268" s="99" t="str">
        <f>"PÉNZTÁRGÉP SZALAG"</f>
        <v>PÉNZTÁRGÉP SZALAG</v>
      </c>
      <c r="D268" s="99" t="str">
        <f>"57,5X60 / 1 PÉLDÁNYOS"</f>
        <v>57,5X60 / 1 PÉLDÁNYOS</v>
      </c>
      <c r="E268" s="6"/>
      <c r="F268" s="6"/>
      <c r="G268" s="6"/>
      <c r="H268" s="28"/>
      <c r="I268" s="6"/>
      <c r="J268" s="6"/>
      <c r="K268" s="6"/>
      <c r="L268" s="6"/>
      <c r="M268" s="6"/>
      <c r="N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14"/>
      <c r="AE268" s="6"/>
      <c r="AF268" s="6"/>
      <c r="AG268" s="6"/>
      <c r="AH268" s="6"/>
      <c r="AI268" s="6"/>
      <c r="AJ268" s="6"/>
      <c r="AK268" s="6"/>
      <c r="AL268" s="6"/>
      <c r="AM268" s="6"/>
      <c r="AN268" s="28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33">
        <f t="shared" si="13"/>
        <v>0</v>
      </c>
      <c r="BN268" s="33"/>
      <c r="BO268" s="33"/>
      <c r="BP268" s="55"/>
    </row>
    <row r="269" spans="1:68" s="9" customFormat="1" ht="11.25" hidden="1">
      <c r="A269" s="25" t="str">
        <f t="shared" si="12"/>
        <v>07654</v>
      </c>
      <c r="B269" s="58"/>
      <c r="C269" s="99" t="s">
        <v>68</v>
      </c>
      <c r="D269" s="99" t="str">
        <f>"75,0X70 / 2 PÉLDÁNYOS"</f>
        <v>75,0X70 / 2 PÉLDÁNYOS</v>
      </c>
      <c r="E269" s="6"/>
      <c r="F269" s="6"/>
      <c r="G269" s="6"/>
      <c r="H269" s="28"/>
      <c r="I269" s="6"/>
      <c r="J269" s="6"/>
      <c r="K269" s="6"/>
      <c r="L269" s="6"/>
      <c r="M269" s="6"/>
      <c r="N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14"/>
      <c r="AE269" s="6"/>
      <c r="AF269" s="6"/>
      <c r="AG269" s="6"/>
      <c r="AH269" s="6"/>
      <c r="AI269" s="6"/>
      <c r="AJ269" s="6"/>
      <c r="AK269" s="6"/>
      <c r="AL269" s="6"/>
      <c r="AM269" s="6"/>
      <c r="AN269" s="28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33">
        <f t="shared" si="13"/>
        <v>0</v>
      </c>
      <c r="BN269" s="33"/>
      <c r="BO269" s="33"/>
      <c r="BP269" s="55"/>
    </row>
    <row r="270" spans="1:68" s="9" customFormat="1" ht="22.5" hidden="1">
      <c r="A270" s="25" t="str">
        <f>"11013"</f>
        <v>11013</v>
      </c>
      <c r="B270" s="58"/>
      <c r="C270" s="99" t="str">
        <f>"PROSPEKTUSTARTÓ (ÁLLÓ) ASZTALI"</f>
        <v>PROSPEKTUSTARTÓ (ÁLLÓ) ASZTALI</v>
      </c>
      <c r="D270" s="99" t="str">
        <f>"A/4"</f>
        <v>A/4</v>
      </c>
      <c r="E270" s="6"/>
      <c r="F270" s="6"/>
      <c r="G270" s="6"/>
      <c r="H270" s="28"/>
      <c r="I270" s="6"/>
      <c r="J270" s="6"/>
      <c r="K270" s="6"/>
      <c r="L270" s="6"/>
      <c r="M270" s="6"/>
      <c r="N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14"/>
      <c r="AE270" s="6"/>
      <c r="AF270" s="6"/>
      <c r="AG270" s="6"/>
      <c r="AH270" s="6"/>
      <c r="AI270" s="6"/>
      <c r="AJ270" s="6"/>
      <c r="AK270" s="6"/>
      <c r="AL270" s="6"/>
      <c r="AM270" s="6"/>
      <c r="AN270" s="28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33">
        <f t="shared" si="13"/>
        <v>0</v>
      </c>
      <c r="BN270" s="33"/>
      <c r="BO270" s="33"/>
      <c r="BP270" s="55"/>
    </row>
    <row r="271" spans="1:68" s="9" customFormat="1" ht="11.25" hidden="1">
      <c r="A271" s="25" t="str">
        <f>"08088"</f>
        <v>08088</v>
      </c>
      <c r="B271" s="58"/>
      <c r="C271" s="99" t="str">
        <f>"RADÍR"</f>
        <v>RADÍR</v>
      </c>
      <c r="D271" s="99" t="str">
        <f>"MAPED SOFTY 790"</f>
        <v>MAPED SOFTY 790</v>
      </c>
      <c r="E271" s="6"/>
      <c r="F271" s="6"/>
      <c r="G271" s="6"/>
      <c r="H271" s="28"/>
      <c r="I271" s="6"/>
      <c r="J271" s="6"/>
      <c r="K271" s="6"/>
      <c r="L271" s="6"/>
      <c r="M271" s="6"/>
      <c r="N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14"/>
      <c r="AE271" s="6"/>
      <c r="AF271" s="6"/>
      <c r="AG271" s="6"/>
      <c r="AH271" s="6"/>
      <c r="AI271" s="6"/>
      <c r="AJ271" s="6"/>
      <c r="AK271" s="6"/>
      <c r="AL271" s="6"/>
      <c r="AM271" s="6"/>
      <c r="AN271" s="28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33">
        <f t="shared" si="13"/>
        <v>0</v>
      </c>
      <c r="BN271" s="33"/>
      <c r="BO271" s="33"/>
      <c r="BP271" s="55"/>
    </row>
    <row r="272" spans="1:68" s="9" customFormat="1" ht="22.5">
      <c r="A272" s="25" t="str">
        <f>"07489"</f>
        <v>07489</v>
      </c>
      <c r="B272" s="58" t="s">
        <v>315</v>
      </c>
      <c r="C272" s="99" t="s">
        <v>64</v>
      </c>
      <c r="D272" s="99" t="s">
        <v>133</v>
      </c>
      <c r="E272" s="6"/>
      <c r="F272" s="6"/>
      <c r="G272" s="6">
        <v>5</v>
      </c>
      <c r="H272" s="28"/>
      <c r="I272" s="6"/>
      <c r="J272" s="6"/>
      <c r="K272" s="6"/>
      <c r="L272" s="6"/>
      <c r="M272" s="6"/>
      <c r="N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14"/>
      <c r="AE272" s="6"/>
      <c r="AF272" s="6"/>
      <c r="AG272" s="6"/>
      <c r="AH272" s="6"/>
      <c r="AI272" s="6"/>
      <c r="AJ272" s="6"/>
      <c r="AK272" s="6"/>
      <c r="AL272" s="6"/>
      <c r="AM272" s="6"/>
      <c r="AN272" s="28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33">
        <f t="shared" si="13"/>
        <v>5</v>
      </c>
      <c r="BN272" s="33" t="s">
        <v>38</v>
      </c>
      <c r="BO272" s="33"/>
      <c r="BP272" s="55"/>
    </row>
    <row r="273" spans="1:68" s="9" customFormat="1" ht="11.25" hidden="1">
      <c r="A273" s="25" t="str">
        <f>"08086"</f>
        <v>08086</v>
      </c>
      <c r="B273" s="58"/>
      <c r="C273" s="99" t="str">
        <f>"RADÍR"</f>
        <v>RADÍR</v>
      </c>
      <c r="D273" s="99" t="str">
        <f>"TIKKY 30"</f>
        <v>TIKKY 30</v>
      </c>
      <c r="E273" s="6"/>
      <c r="F273" s="6"/>
      <c r="G273" s="6"/>
      <c r="H273" s="28"/>
      <c r="I273" s="6"/>
      <c r="J273" s="6"/>
      <c r="K273" s="6"/>
      <c r="L273" s="6"/>
      <c r="M273" s="6"/>
      <c r="N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14"/>
      <c r="AE273" s="6"/>
      <c r="AF273" s="6"/>
      <c r="AG273" s="6"/>
      <c r="AH273" s="6"/>
      <c r="AI273" s="6"/>
      <c r="AJ273" s="6"/>
      <c r="AK273" s="6"/>
      <c r="AL273" s="6"/>
      <c r="AM273" s="6"/>
      <c r="AN273" s="28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33">
        <f t="shared" si="13"/>
        <v>0</v>
      </c>
      <c r="BN273" s="33"/>
      <c r="BO273" s="33"/>
      <c r="BP273" s="55"/>
    </row>
    <row r="274" spans="1:68" s="9" customFormat="1" ht="11.25" hidden="1">
      <c r="A274" s="25" t="str">
        <f>"10384"</f>
        <v>10384</v>
      </c>
      <c r="B274" s="58"/>
      <c r="C274" s="99" t="str">
        <f>"RADÍR"</f>
        <v>RADÍR</v>
      </c>
      <c r="D274" s="99" t="str">
        <f>"TIKKY 40"</f>
        <v>TIKKY 40</v>
      </c>
      <c r="E274" s="6"/>
      <c r="F274" s="6"/>
      <c r="G274" s="6"/>
      <c r="H274" s="28"/>
      <c r="I274" s="6"/>
      <c r="J274" s="6"/>
      <c r="K274" s="6"/>
      <c r="L274" s="6"/>
      <c r="M274" s="6"/>
      <c r="N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14"/>
      <c r="AE274" s="6"/>
      <c r="AF274" s="6"/>
      <c r="AG274" s="6"/>
      <c r="AH274" s="6"/>
      <c r="AI274" s="6"/>
      <c r="AJ274" s="6"/>
      <c r="AK274" s="6"/>
      <c r="AL274" s="6"/>
      <c r="AM274" s="6"/>
      <c r="AN274" s="28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33">
        <f t="shared" si="13"/>
        <v>0</v>
      </c>
      <c r="BN274" s="33"/>
      <c r="BO274" s="33"/>
      <c r="BP274" s="55"/>
    </row>
    <row r="275" spans="1:69" s="9" customFormat="1" ht="22.5" hidden="1">
      <c r="A275" s="25" t="str">
        <f>"11737"</f>
        <v>11737</v>
      </c>
      <c r="B275" s="58"/>
      <c r="C275" s="99" t="str">
        <f>"RAGASZTÓ (GYURMA) POSZTERHEZ"</f>
        <v>RAGASZTÓ (GYURMA) POSZTERHEZ</v>
      </c>
      <c r="D275" s="99" t="str">
        <f>"BLUTECH"</f>
        <v>BLUTECH</v>
      </c>
      <c r="E275" s="6"/>
      <c r="F275" s="6"/>
      <c r="G275" s="6"/>
      <c r="H275" s="28"/>
      <c r="I275" s="6"/>
      <c r="J275" s="6"/>
      <c r="K275" s="6"/>
      <c r="L275" s="6"/>
      <c r="M275" s="6"/>
      <c r="N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14"/>
      <c r="AE275" s="6"/>
      <c r="AF275" s="6"/>
      <c r="AG275" s="6"/>
      <c r="AH275" s="6"/>
      <c r="AI275" s="6"/>
      <c r="AJ275" s="6"/>
      <c r="AK275" s="6"/>
      <c r="AL275" s="6"/>
      <c r="AM275" s="6"/>
      <c r="AN275" s="28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33">
        <f t="shared" si="13"/>
        <v>0</v>
      </c>
      <c r="BN275" s="33"/>
      <c r="BO275" s="33"/>
      <c r="BP275" s="55"/>
      <c r="BQ275" s="10"/>
    </row>
    <row r="276" spans="1:68" s="9" customFormat="1" ht="22.5">
      <c r="A276" s="25" t="str">
        <f>"07489"</f>
        <v>07489</v>
      </c>
      <c r="B276" s="58" t="s">
        <v>316</v>
      </c>
      <c r="C276" s="99" t="s">
        <v>64</v>
      </c>
      <c r="D276" s="99" t="s">
        <v>106</v>
      </c>
      <c r="E276" s="6"/>
      <c r="F276" s="6"/>
      <c r="G276" s="6"/>
      <c r="H276" s="28"/>
      <c r="I276" s="6"/>
      <c r="J276" s="6"/>
      <c r="K276" s="6"/>
      <c r="L276" s="6"/>
      <c r="M276" s="6"/>
      <c r="N276" s="6"/>
      <c r="P276" s="6"/>
      <c r="Q276" s="6"/>
      <c r="R276" s="6"/>
      <c r="S276" s="6"/>
      <c r="T276" s="6"/>
      <c r="U276" s="6">
        <v>3</v>
      </c>
      <c r="V276" s="6"/>
      <c r="W276" s="6"/>
      <c r="X276" s="6"/>
      <c r="Y276" s="6"/>
      <c r="Z276" s="6"/>
      <c r="AA276" s="6"/>
      <c r="AB276" s="6"/>
      <c r="AC276" s="6"/>
      <c r="AD276" s="14"/>
      <c r="AE276" s="6"/>
      <c r="AF276" s="6"/>
      <c r="AG276" s="6"/>
      <c r="AH276" s="6"/>
      <c r="AI276" s="6"/>
      <c r="AJ276" s="6"/>
      <c r="AK276" s="6"/>
      <c r="AL276" s="6"/>
      <c r="AM276" s="6"/>
      <c r="AN276" s="28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33">
        <f t="shared" si="13"/>
        <v>3</v>
      </c>
      <c r="BN276" s="33" t="s">
        <v>38</v>
      </c>
      <c r="BO276" s="33"/>
      <c r="BP276" s="55"/>
    </row>
    <row r="277" spans="1:68" s="9" customFormat="1" ht="11.25">
      <c r="A277" s="25" t="str">
        <f>"09566"</f>
        <v>09566</v>
      </c>
      <c r="B277" s="58" t="s">
        <v>317</v>
      </c>
      <c r="C277" s="99" t="str">
        <f>"IRATRENDEZŐ (TOKOS) SZÍNES"</f>
        <v>IRATRENDEZŐ (TOKOS) SZÍNES</v>
      </c>
      <c r="D277" s="99" t="str">
        <f>"A/4"</f>
        <v>A/4</v>
      </c>
      <c r="E277" s="6"/>
      <c r="F277" s="6"/>
      <c r="G277" s="6"/>
      <c r="H277" s="28"/>
      <c r="I277" s="6"/>
      <c r="J277" s="6"/>
      <c r="K277" s="6"/>
      <c r="L277" s="6"/>
      <c r="M277" s="6"/>
      <c r="N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14"/>
      <c r="AE277" s="6"/>
      <c r="AF277" s="6"/>
      <c r="AG277" s="6"/>
      <c r="AH277" s="6"/>
      <c r="AI277" s="6"/>
      <c r="AJ277" s="6"/>
      <c r="AK277" s="6"/>
      <c r="AL277" s="6"/>
      <c r="AM277" s="6"/>
      <c r="AN277" s="28"/>
      <c r="AO277" s="6"/>
      <c r="AP277" s="6"/>
      <c r="AQ277" s="6"/>
      <c r="AR277" s="6"/>
      <c r="AS277" s="6"/>
      <c r="AT277" s="6"/>
      <c r="AU277" s="6"/>
      <c r="AV277" s="6"/>
      <c r="AW277" s="6"/>
      <c r="AX277" s="6">
        <v>10</v>
      </c>
      <c r="AY277" s="6">
        <v>10</v>
      </c>
      <c r="AZ277" s="6"/>
      <c r="BA277" s="6"/>
      <c r="BB277" s="6"/>
      <c r="BC277" s="6"/>
      <c r="BD277" s="6"/>
      <c r="BE277" s="6"/>
      <c r="BF277" s="6"/>
      <c r="BG277" s="6"/>
      <c r="BH277" s="6"/>
      <c r="BI277" s="6">
        <v>5</v>
      </c>
      <c r="BJ277" s="6"/>
      <c r="BK277" s="6"/>
      <c r="BL277" s="6"/>
      <c r="BM277" s="33">
        <f t="shared" si="13"/>
        <v>25</v>
      </c>
      <c r="BN277" s="33" t="s">
        <v>38</v>
      </c>
      <c r="BO277" s="33"/>
      <c r="BP277" s="55"/>
    </row>
    <row r="278" spans="1:68" s="9" customFormat="1" ht="22.5" hidden="1">
      <c r="A278" s="25" t="str">
        <f>"10907"</f>
        <v>10907</v>
      </c>
      <c r="B278" s="58"/>
      <c r="C278" s="99" t="s">
        <v>69</v>
      </c>
      <c r="D278" s="99" t="str">
        <f>"KIS TEKERCS"</f>
        <v>KIS TEKERCS</v>
      </c>
      <c r="E278" s="6"/>
      <c r="F278" s="6"/>
      <c r="G278" s="6"/>
      <c r="H278" s="28"/>
      <c r="I278" s="6"/>
      <c r="J278" s="6"/>
      <c r="K278" s="6"/>
      <c r="L278" s="6"/>
      <c r="M278" s="6"/>
      <c r="N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14"/>
      <c r="AE278" s="6"/>
      <c r="AF278" s="6"/>
      <c r="AG278" s="6"/>
      <c r="AH278" s="6"/>
      <c r="AI278" s="6"/>
      <c r="AJ278" s="6"/>
      <c r="AK278" s="6"/>
      <c r="AL278" s="6"/>
      <c r="AM278" s="6"/>
      <c r="AN278" s="28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33">
        <f t="shared" si="13"/>
        <v>0</v>
      </c>
      <c r="BN278" s="33" t="s">
        <v>38</v>
      </c>
      <c r="BO278" s="33"/>
      <c r="BP278" s="55"/>
    </row>
    <row r="279" spans="1:68" s="9" customFormat="1" ht="11.25">
      <c r="A279" s="25" t="str">
        <f>"13351"</f>
        <v>13351</v>
      </c>
      <c r="B279" s="58" t="s">
        <v>318</v>
      </c>
      <c r="C279" s="99" t="str">
        <f>"IRATSÍN"</f>
        <v>IRATSÍN</v>
      </c>
      <c r="D279" s="99"/>
      <c r="E279" s="6">
        <v>5</v>
      </c>
      <c r="F279" s="6"/>
      <c r="G279" s="6"/>
      <c r="H279" s="28"/>
      <c r="I279" s="6"/>
      <c r="J279" s="6"/>
      <c r="K279" s="6"/>
      <c r="L279" s="6"/>
      <c r="M279" s="6"/>
      <c r="N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14"/>
      <c r="AE279" s="6"/>
      <c r="AF279" s="6"/>
      <c r="AG279" s="6"/>
      <c r="AH279" s="6"/>
      <c r="AI279" s="6"/>
      <c r="AJ279" s="6"/>
      <c r="AK279" s="6"/>
      <c r="AL279" s="6"/>
      <c r="AM279" s="6"/>
      <c r="AN279" s="28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33">
        <f t="shared" si="13"/>
        <v>5</v>
      </c>
      <c r="BN279" s="33" t="s">
        <v>38</v>
      </c>
      <c r="BO279" s="33"/>
      <c r="BP279" s="55"/>
    </row>
    <row r="280" spans="1:68" s="9" customFormat="1" ht="11.25" hidden="1">
      <c r="A280" s="25" t="str">
        <f>"07776"</f>
        <v>07776</v>
      </c>
      <c r="B280" s="58"/>
      <c r="C280" s="99" t="str">
        <f>"RAGASZTÓ SZALAG (ÍRHATÓS)"</f>
        <v>RAGASZTÓ SZALAG (ÍRHATÓS)</v>
      </c>
      <c r="D280" s="99" t="str">
        <f>"19X32,9 MM"</f>
        <v>19X32,9 MM</v>
      </c>
      <c r="E280" s="6"/>
      <c r="F280" s="6"/>
      <c r="G280" s="6"/>
      <c r="H280" s="28"/>
      <c r="I280" s="6"/>
      <c r="J280" s="6"/>
      <c r="K280" s="6"/>
      <c r="L280" s="6"/>
      <c r="M280" s="6"/>
      <c r="N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14"/>
      <c r="AE280" s="6"/>
      <c r="AF280" s="6"/>
      <c r="AG280" s="6"/>
      <c r="AH280" s="6"/>
      <c r="AI280" s="6"/>
      <c r="AJ280" s="6"/>
      <c r="AK280" s="6"/>
      <c r="AL280" s="6"/>
      <c r="AM280" s="6"/>
      <c r="AN280" s="28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33">
        <f t="shared" si="13"/>
        <v>0</v>
      </c>
      <c r="BN280" s="33"/>
      <c r="BO280" s="33"/>
      <c r="BP280" s="55"/>
    </row>
    <row r="281" spans="1:68" s="9" customFormat="1" ht="11.25" hidden="1">
      <c r="A281" s="25" t="str">
        <f>"07765"</f>
        <v>07765</v>
      </c>
      <c r="B281" s="58"/>
      <c r="C281" s="99" t="str">
        <f>"RAGASZTÓ SZALAG (KÉTOLDALÚ)"</f>
        <v>RAGASZTÓ SZALAG (KÉTOLDALÚ)</v>
      </c>
      <c r="D281" s="99" t="str">
        <f>"12,7X22,8 M"</f>
        <v>12,7X22,8 M</v>
      </c>
      <c r="E281" s="6"/>
      <c r="F281" s="6"/>
      <c r="G281" s="6"/>
      <c r="H281" s="28"/>
      <c r="I281" s="6"/>
      <c r="J281" s="6"/>
      <c r="K281" s="6"/>
      <c r="L281" s="6"/>
      <c r="M281" s="6"/>
      <c r="N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14"/>
      <c r="AE281" s="6"/>
      <c r="AF281" s="6"/>
      <c r="AG281" s="6"/>
      <c r="AH281" s="6"/>
      <c r="AI281" s="6"/>
      <c r="AJ281" s="6"/>
      <c r="AK281" s="6"/>
      <c r="AL281" s="6"/>
      <c r="AM281" s="6"/>
      <c r="AN281" s="28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33">
        <f t="shared" si="13"/>
        <v>0</v>
      </c>
      <c r="BN281" s="33"/>
      <c r="BO281" s="33"/>
      <c r="BP281" s="55"/>
    </row>
    <row r="282" spans="1:69" s="23" customFormat="1" ht="11.25">
      <c r="A282" s="25" t="str">
        <f>"10188"</f>
        <v>10188</v>
      </c>
      <c r="B282" s="58" t="s">
        <v>319</v>
      </c>
      <c r="C282" s="99" t="s">
        <v>76</v>
      </c>
      <c r="D282" s="99" t="s">
        <v>75</v>
      </c>
      <c r="E282" s="5">
        <v>5</v>
      </c>
      <c r="F282" s="5"/>
      <c r="G282" s="28"/>
      <c r="H282" s="5"/>
      <c r="I282" s="5"/>
      <c r="J282" s="6"/>
      <c r="K282" s="6"/>
      <c r="L282" s="6"/>
      <c r="M282" s="5"/>
      <c r="N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>
        <v>10</v>
      </c>
      <c r="AC282" s="5"/>
      <c r="AD282" s="13"/>
      <c r="AE282" s="5"/>
      <c r="AF282" s="5"/>
      <c r="AG282" s="5"/>
      <c r="AH282" s="5"/>
      <c r="AI282" s="5"/>
      <c r="AJ282" s="5"/>
      <c r="AK282" s="5"/>
      <c r="AL282" s="5"/>
      <c r="AM282" s="5"/>
      <c r="AN282" s="28"/>
      <c r="AO282" s="5"/>
      <c r="AP282" s="5"/>
      <c r="AQ282" s="5"/>
      <c r="AR282" s="6"/>
      <c r="AS282" s="6"/>
      <c r="AT282" s="6"/>
      <c r="AU282" s="6"/>
      <c r="AV282" s="6"/>
      <c r="AW282" s="6"/>
      <c r="AX282" s="6"/>
      <c r="AY282" s="6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33">
        <f t="shared" si="13"/>
        <v>15</v>
      </c>
      <c r="BN282" s="33" t="s">
        <v>38</v>
      </c>
      <c r="BO282" s="30"/>
      <c r="BP282" s="59"/>
      <c r="BQ282" s="32"/>
    </row>
    <row r="283" spans="1:68" s="9" customFormat="1" ht="22.5" hidden="1">
      <c r="A283" s="25" t="str">
        <f>"07739"</f>
        <v>07739</v>
      </c>
      <c r="B283" s="58"/>
      <c r="C283" s="99" t="str">
        <f>"RAGASZTÓ SZALAG (KÉTOLDALÚ) TESA"</f>
        <v>RAGASZTÓ SZALAG (KÉTOLDALÚ) TESA</v>
      </c>
      <c r="D283" s="99" t="str">
        <f>"10MX50MM"</f>
        <v>10MX50MM</v>
      </c>
      <c r="E283" s="6"/>
      <c r="F283" s="6"/>
      <c r="G283" s="6"/>
      <c r="H283" s="28"/>
      <c r="I283" s="6"/>
      <c r="J283" s="6"/>
      <c r="K283" s="6"/>
      <c r="L283" s="6"/>
      <c r="M283" s="6"/>
      <c r="N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14"/>
      <c r="AE283" s="6"/>
      <c r="AF283" s="6"/>
      <c r="AG283" s="6"/>
      <c r="AH283" s="6"/>
      <c r="AI283" s="6"/>
      <c r="AJ283" s="6"/>
      <c r="AK283" s="6"/>
      <c r="AL283" s="6"/>
      <c r="AM283" s="6"/>
      <c r="AN283" s="28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33">
        <f t="shared" si="13"/>
        <v>0</v>
      </c>
      <c r="BN283" s="33"/>
      <c r="BO283" s="33"/>
      <c r="BP283" s="55"/>
    </row>
    <row r="284" spans="1:68" s="9" customFormat="1" ht="22.5" hidden="1">
      <c r="A284" s="25" t="str">
        <f>"07739"</f>
        <v>07739</v>
      </c>
      <c r="B284" s="58"/>
      <c r="C284" s="99" t="str">
        <f>"RAGASZTÓ SZALAG (KÉTOLDALÚ) TESA"</f>
        <v>RAGASZTÓ SZALAG (KÉTOLDALÚ) TESA</v>
      </c>
      <c r="D284" s="99" t="str">
        <f>"20MX50MM"</f>
        <v>20MX50MM</v>
      </c>
      <c r="E284" s="6"/>
      <c r="F284" s="6"/>
      <c r="G284" s="6"/>
      <c r="H284" s="28"/>
      <c r="I284" s="6"/>
      <c r="J284" s="6"/>
      <c r="K284" s="6"/>
      <c r="L284" s="6"/>
      <c r="M284" s="6"/>
      <c r="N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14"/>
      <c r="AE284" s="6"/>
      <c r="AF284" s="6"/>
      <c r="AG284" s="6"/>
      <c r="AH284" s="6"/>
      <c r="AI284" s="6"/>
      <c r="AJ284" s="6"/>
      <c r="AK284" s="6"/>
      <c r="AL284" s="6"/>
      <c r="AM284" s="6"/>
      <c r="AN284" s="28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33">
        <f t="shared" si="13"/>
        <v>0</v>
      </c>
      <c r="BN284" s="33"/>
      <c r="BO284" s="33"/>
      <c r="BP284" s="55"/>
    </row>
    <row r="285" spans="1:68" s="9" customFormat="1" ht="22.5" hidden="1">
      <c r="A285" s="25" t="str">
        <f>"07739"</f>
        <v>07739</v>
      </c>
      <c r="B285" s="58"/>
      <c r="C285" s="99" t="str">
        <f>"RAGASZTÓ SZALAG (KÉTOLDALÚ) TESA"</f>
        <v>RAGASZTÓ SZALAG (KÉTOLDALÚ) TESA</v>
      </c>
      <c r="D285" s="99" t="str">
        <f>"5MX50MM"</f>
        <v>5MX50MM</v>
      </c>
      <c r="E285" s="6"/>
      <c r="F285" s="6"/>
      <c r="G285" s="6"/>
      <c r="H285" s="28"/>
      <c r="I285" s="6"/>
      <c r="J285" s="6"/>
      <c r="K285" s="6"/>
      <c r="L285" s="6"/>
      <c r="M285" s="6"/>
      <c r="N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14"/>
      <c r="AE285" s="6"/>
      <c r="AF285" s="6"/>
      <c r="AG285" s="6"/>
      <c r="AH285" s="6"/>
      <c r="AI285" s="6"/>
      <c r="AJ285" s="6"/>
      <c r="AK285" s="6"/>
      <c r="AL285" s="6"/>
      <c r="AM285" s="6"/>
      <c r="AN285" s="28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33">
        <f t="shared" si="13"/>
        <v>0</v>
      </c>
      <c r="BN285" s="33"/>
      <c r="BO285" s="33"/>
      <c r="BP285" s="55"/>
    </row>
    <row r="286" spans="1:68" s="9" customFormat="1" ht="11.25" hidden="1">
      <c r="A286" s="25" t="str">
        <f>"07739"</f>
        <v>07739</v>
      </c>
      <c r="B286" s="58"/>
      <c r="C286" s="99" t="str">
        <f>"RAGASZTÓ SZALAG (SCOTCH)"</f>
        <v>RAGASZTÓ SZALAG (SCOTCH)</v>
      </c>
      <c r="D286" s="99" t="str">
        <f>"19X1,5 MM"</f>
        <v>19X1,5 MM</v>
      </c>
      <c r="E286" s="6"/>
      <c r="F286" s="6"/>
      <c r="G286" s="6"/>
      <c r="H286" s="28"/>
      <c r="I286" s="6"/>
      <c r="J286" s="6"/>
      <c r="K286" s="6"/>
      <c r="L286" s="6"/>
      <c r="M286" s="6"/>
      <c r="N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14"/>
      <c r="AE286" s="6"/>
      <c r="AF286" s="6"/>
      <c r="AG286" s="6"/>
      <c r="AH286" s="6"/>
      <c r="AI286" s="6"/>
      <c r="AJ286" s="6"/>
      <c r="AK286" s="6"/>
      <c r="AL286" s="6"/>
      <c r="AM286" s="6"/>
      <c r="AN286" s="28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33">
        <f t="shared" si="13"/>
        <v>0</v>
      </c>
      <c r="BN286" s="33"/>
      <c r="BO286" s="33"/>
      <c r="BP286" s="55"/>
    </row>
    <row r="287" spans="1:68" s="9" customFormat="1" ht="11.25">
      <c r="A287" s="25">
        <v>10863</v>
      </c>
      <c r="B287" s="58" t="s">
        <v>320</v>
      </c>
      <c r="C287" s="99" t="s">
        <v>127</v>
      </c>
      <c r="D287" s="99" t="s">
        <v>49</v>
      </c>
      <c r="E287" s="6">
        <v>5</v>
      </c>
      <c r="F287" s="6"/>
      <c r="G287" s="6"/>
      <c r="H287" s="28"/>
      <c r="I287" s="6"/>
      <c r="J287" s="6"/>
      <c r="K287" s="6"/>
      <c r="L287" s="6"/>
      <c r="M287" s="6"/>
      <c r="N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>
        <v>10</v>
      </c>
      <c r="AC287" s="6"/>
      <c r="AD287" s="14"/>
      <c r="AE287" s="6"/>
      <c r="AF287" s="6"/>
      <c r="AG287" s="6"/>
      <c r="AH287" s="6"/>
      <c r="AI287" s="6"/>
      <c r="AJ287" s="6"/>
      <c r="AK287" s="6"/>
      <c r="AL287" s="6"/>
      <c r="AM287" s="6"/>
      <c r="AN287" s="28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33">
        <f t="shared" si="13"/>
        <v>15</v>
      </c>
      <c r="BN287" s="33" t="s">
        <v>38</v>
      </c>
      <c r="BO287" s="33"/>
      <c r="BP287" s="55"/>
    </row>
    <row r="288" spans="1:68" s="9" customFormat="1" ht="11.25" hidden="1">
      <c r="A288" s="25" t="str">
        <f>"03399"</f>
        <v>03399</v>
      </c>
      <c r="B288" s="58"/>
      <c r="C288" s="99" t="str">
        <f>"RAGASZTÓ SZALAG TÜKÖRHÖZ"</f>
        <v>RAGASZTÓ SZALAG TÜKÖRHÖZ</v>
      </c>
      <c r="D288" s="99"/>
      <c r="E288" s="6"/>
      <c r="F288" s="6"/>
      <c r="G288" s="6"/>
      <c r="H288" s="28"/>
      <c r="I288" s="6"/>
      <c r="J288" s="6"/>
      <c r="K288" s="6"/>
      <c r="L288" s="6"/>
      <c r="M288" s="6"/>
      <c r="N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14"/>
      <c r="AE288" s="6"/>
      <c r="AF288" s="6"/>
      <c r="AG288" s="6"/>
      <c r="AH288" s="6"/>
      <c r="AI288" s="6"/>
      <c r="AJ288" s="6"/>
      <c r="AK288" s="6"/>
      <c r="AL288" s="6"/>
      <c r="AM288" s="6"/>
      <c r="AN288" s="28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33">
        <f t="shared" si="13"/>
        <v>0</v>
      </c>
      <c r="BN288" s="33"/>
      <c r="BO288" s="33"/>
      <c r="BP288" s="55"/>
    </row>
    <row r="289" spans="1:68" s="9" customFormat="1" ht="11.25">
      <c r="A289" s="25" t="str">
        <f>"09072"</f>
        <v>09072</v>
      </c>
      <c r="B289" s="58" t="s">
        <v>321</v>
      </c>
      <c r="C289" s="100" t="s">
        <v>191</v>
      </c>
      <c r="D289" s="100"/>
      <c r="E289" s="6"/>
      <c r="F289" s="6">
        <v>2</v>
      </c>
      <c r="G289" s="6"/>
      <c r="H289" s="6"/>
      <c r="I289" s="6"/>
      <c r="J289" s="6"/>
      <c r="K289" s="6"/>
      <c r="L289" s="6"/>
      <c r="M289" s="6"/>
      <c r="N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14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>
        <v>1</v>
      </c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33">
        <f t="shared" si="13"/>
        <v>3</v>
      </c>
      <c r="BN289" s="33" t="s">
        <v>48</v>
      </c>
      <c r="BO289" s="33"/>
      <c r="BP289" s="55"/>
    </row>
    <row r="290" spans="1:68" s="9" customFormat="1" ht="11.25">
      <c r="A290" s="25" t="str">
        <f>"07610"</f>
        <v>07610</v>
      </c>
      <c r="B290" s="58" t="s">
        <v>322</v>
      </c>
      <c r="C290" s="99" t="str">
        <f>"LAPSZÉLJELÖLŐ"</f>
        <v>LAPSZÉLJELÖLŐ</v>
      </c>
      <c r="D290" s="99" t="s">
        <v>137</v>
      </c>
      <c r="E290" s="6"/>
      <c r="F290" s="6"/>
      <c r="G290" s="6"/>
      <c r="H290" s="28"/>
      <c r="I290" s="6"/>
      <c r="J290" s="6">
        <v>2</v>
      </c>
      <c r="K290" s="6">
        <v>1</v>
      </c>
      <c r="L290" s="6">
        <v>1</v>
      </c>
      <c r="M290" s="6"/>
      <c r="N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>
        <v>1</v>
      </c>
      <c r="AB290" s="6"/>
      <c r="AC290" s="6"/>
      <c r="AD290" s="14"/>
      <c r="AE290" s="6"/>
      <c r="AF290" s="6"/>
      <c r="AG290" s="6"/>
      <c r="AH290" s="6"/>
      <c r="AI290" s="6"/>
      <c r="AJ290" s="6"/>
      <c r="AK290" s="6"/>
      <c r="AL290" s="6"/>
      <c r="AM290" s="6"/>
      <c r="AN290" s="28"/>
      <c r="AO290" s="6"/>
      <c r="AP290" s="6"/>
      <c r="AQ290" s="6"/>
      <c r="AR290" s="6"/>
      <c r="AS290" s="6">
        <v>1</v>
      </c>
      <c r="AT290" s="6"/>
      <c r="AU290" s="6"/>
      <c r="AV290" s="6"/>
      <c r="AW290" s="6"/>
      <c r="AX290" s="6">
        <v>1</v>
      </c>
      <c r="AY290" s="6">
        <v>1</v>
      </c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33">
        <f t="shared" si="13"/>
        <v>8</v>
      </c>
      <c r="BN290" s="33" t="s">
        <v>38</v>
      </c>
      <c r="BO290" s="33"/>
      <c r="BP290" s="55"/>
    </row>
    <row r="291" spans="1:68" s="9" customFormat="1" ht="11.25" hidden="1">
      <c r="A291" s="25" t="str">
        <f>"10453"</f>
        <v>10453</v>
      </c>
      <c r="B291" s="58"/>
      <c r="C291" s="99" t="str">
        <f>"RAJZLAP"</f>
        <v>RAJZLAP</v>
      </c>
      <c r="D291" s="99" t="str">
        <f>"A/1"</f>
        <v>A/1</v>
      </c>
      <c r="E291" s="6"/>
      <c r="F291" s="6"/>
      <c r="G291" s="6"/>
      <c r="H291" s="28"/>
      <c r="I291" s="6"/>
      <c r="J291" s="6"/>
      <c r="K291" s="6"/>
      <c r="L291" s="6"/>
      <c r="M291" s="6"/>
      <c r="N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14"/>
      <c r="AE291" s="6"/>
      <c r="AF291" s="6"/>
      <c r="AG291" s="6"/>
      <c r="AH291" s="6"/>
      <c r="AI291" s="6"/>
      <c r="AJ291" s="6"/>
      <c r="AK291" s="6"/>
      <c r="AL291" s="6"/>
      <c r="AM291" s="6"/>
      <c r="AN291" s="28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33">
        <f t="shared" si="13"/>
        <v>0</v>
      </c>
      <c r="BN291" s="33"/>
      <c r="BO291" s="33"/>
      <c r="BP291" s="55"/>
    </row>
    <row r="292" spans="1:68" s="9" customFormat="1" ht="11.25" hidden="1">
      <c r="A292" s="25" t="str">
        <f>"09810"</f>
        <v>09810</v>
      </c>
      <c r="B292" s="58"/>
      <c r="C292" s="99" t="str">
        <f>"RAJZLAP"</f>
        <v>RAJZLAP</v>
      </c>
      <c r="D292" s="99" t="str">
        <f>"A/2"</f>
        <v>A/2</v>
      </c>
      <c r="E292" s="6"/>
      <c r="F292" s="6"/>
      <c r="G292" s="6"/>
      <c r="H292" s="28"/>
      <c r="I292" s="6"/>
      <c r="J292" s="6"/>
      <c r="K292" s="6"/>
      <c r="L292" s="6"/>
      <c r="M292" s="6"/>
      <c r="N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14"/>
      <c r="AE292" s="6"/>
      <c r="AF292" s="6"/>
      <c r="AG292" s="6"/>
      <c r="AH292" s="6"/>
      <c r="AI292" s="6"/>
      <c r="AJ292" s="6"/>
      <c r="AK292" s="6"/>
      <c r="AL292" s="6"/>
      <c r="AM292" s="6"/>
      <c r="AN292" s="28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33">
        <f t="shared" si="13"/>
        <v>0</v>
      </c>
      <c r="BN292" s="33"/>
      <c r="BO292" s="33"/>
      <c r="BP292" s="55"/>
    </row>
    <row r="293" spans="1:68" s="9" customFormat="1" ht="11.25" hidden="1">
      <c r="A293" s="25" t="str">
        <f>"10187"</f>
        <v>10187</v>
      </c>
      <c r="B293" s="58"/>
      <c r="C293" s="99" t="str">
        <f>"RAJZLAP"</f>
        <v>RAJZLAP</v>
      </c>
      <c r="D293" s="99" t="str">
        <f>"A/4"</f>
        <v>A/4</v>
      </c>
      <c r="E293" s="6"/>
      <c r="F293" s="6"/>
      <c r="G293" s="6"/>
      <c r="H293" s="28"/>
      <c r="I293" s="6"/>
      <c r="J293" s="6"/>
      <c r="K293" s="6"/>
      <c r="L293" s="6"/>
      <c r="M293" s="6"/>
      <c r="N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14"/>
      <c r="AE293" s="6"/>
      <c r="AF293" s="6"/>
      <c r="AG293" s="6"/>
      <c r="AH293" s="6"/>
      <c r="AI293" s="6"/>
      <c r="AJ293" s="6"/>
      <c r="AK293" s="6"/>
      <c r="AL293" s="6"/>
      <c r="AM293" s="6"/>
      <c r="AN293" s="28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33">
        <f t="shared" si="13"/>
        <v>0</v>
      </c>
      <c r="BN293" s="33"/>
      <c r="BO293" s="33"/>
      <c r="BP293" s="55"/>
    </row>
    <row r="294" spans="1:68" s="9" customFormat="1" ht="11.25">
      <c r="A294" s="25" t="str">
        <f>"07652"</f>
        <v>07652</v>
      </c>
      <c r="B294" s="58" t="s">
        <v>323</v>
      </c>
      <c r="C294" s="99" t="str">
        <f>"LAPSZÉLJELÖLŐ"</f>
        <v>LAPSZÉLJELÖLŐ</v>
      </c>
      <c r="D294" s="99" t="s">
        <v>136</v>
      </c>
      <c r="E294" s="6"/>
      <c r="F294" s="6"/>
      <c r="G294" s="6"/>
      <c r="H294" s="28"/>
      <c r="I294" s="6"/>
      <c r="J294" s="6"/>
      <c r="K294" s="6">
        <v>1</v>
      </c>
      <c r="L294" s="6">
        <v>1</v>
      </c>
      <c r="M294" s="6"/>
      <c r="N294" s="6"/>
      <c r="P294" s="6"/>
      <c r="Q294" s="6"/>
      <c r="R294" s="6"/>
      <c r="S294" s="6"/>
      <c r="T294" s="6"/>
      <c r="U294" s="6"/>
      <c r="V294" s="6"/>
      <c r="W294" s="6"/>
      <c r="X294" s="6">
        <v>2</v>
      </c>
      <c r="Y294" s="6"/>
      <c r="Z294" s="6"/>
      <c r="AA294" s="6"/>
      <c r="AB294" s="6"/>
      <c r="AC294" s="6"/>
      <c r="AD294" s="14"/>
      <c r="AE294" s="6"/>
      <c r="AF294" s="6"/>
      <c r="AG294" s="6"/>
      <c r="AH294" s="6"/>
      <c r="AI294" s="6"/>
      <c r="AJ294" s="6"/>
      <c r="AK294" s="6"/>
      <c r="AL294" s="6"/>
      <c r="AM294" s="6"/>
      <c r="AN294" s="28"/>
      <c r="AO294" s="6"/>
      <c r="AP294" s="6"/>
      <c r="AQ294" s="6"/>
      <c r="AR294" s="6"/>
      <c r="AS294" s="6"/>
      <c r="AT294" s="6"/>
      <c r="AU294" s="6"/>
      <c r="AV294" s="6"/>
      <c r="AW294" s="6"/>
      <c r="AX294" s="6">
        <v>1</v>
      </c>
      <c r="AY294" s="6">
        <v>1</v>
      </c>
      <c r="AZ294" s="6"/>
      <c r="BA294" s="6"/>
      <c r="BB294" s="6">
        <v>2</v>
      </c>
      <c r="BC294" s="6">
        <v>2</v>
      </c>
      <c r="BD294" s="6"/>
      <c r="BE294" s="6"/>
      <c r="BF294" s="6"/>
      <c r="BG294" s="6"/>
      <c r="BH294" s="6"/>
      <c r="BI294" s="6"/>
      <c r="BJ294" s="6"/>
      <c r="BK294" s="6"/>
      <c r="BL294" s="6"/>
      <c r="BM294" s="33">
        <f t="shared" si="13"/>
        <v>10</v>
      </c>
      <c r="BN294" s="33" t="s">
        <v>38</v>
      </c>
      <c r="BO294" s="33"/>
      <c r="BP294" s="55"/>
    </row>
    <row r="295" spans="1:68" s="10" customFormat="1" ht="22.5" hidden="1">
      <c r="A295" s="25" t="str">
        <f>"07764"</f>
        <v>07764</v>
      </c>
      <c r="B295" s="58"/>
      <c r="C295" s="99" t="str">
        <f>"RAKTÁRI KÉSZLETNYILVÁNTARTÓ"</f>
        <v>RAKTÁRI KÉSZLETNYILVÁNTARTÓ</v>
      </c>
      <c r="D295" s="99" t="str">
        <f>"B.12-152"</f>
        <v>B.12-152</v>
      </c>
      <c r="E295" s="5"/>
      <c r="F295" s="5"/>
      <c r="G295" s="5"/>
      <c r="H295" s="28"/>
      <c r="I295" s="5"/>
      <c r="J295" s="5"/>
      <c r="K295" s="5"/>
      <c r="L295" s="5"/>
      <c r="M295" s="5"/>
      <c r="N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13"/>
      <c r="AE295" s="5"/>
      <c r="AF295" s="5"/>
      <c r="AG295" s="5"/>
      <c r="AH295" s="5"/>
      <c r="AI295" s="5"/>
      <c r="AJ295" s="5"/>
      <c r="AK295" s="5"/>
      <c r="AL295" s="5"/>
      <c r="AM295" s="5"/>
      <c r="AN295" s="28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33">
        <f t="shared" si="13"/>
        <v>0</v>
      </c>
      <c r="BN295" s="28"/>
      <c r="BO295" s="28"/>
      <c r="BP295" s="58"/>
    </row>
    <row r="296" spans="1:68" s="9" customFormat="1" ht="11.25">
      <c r="A296" s="25" t="str">
        <f>"07486"</f>
        <v>07486</v>
      </c>
      <c r="B296" s="58" t="s">
        <v>324</v>
      </c>
      <c r="C296" s="100" t="s">
        <v>171</v>
      </c>
      <c r="D296" s="101" t="s">
        <v>229</v>
      </c>
      <c r="E296" s="6"/>
      <c r="F296" s="6"/>
      <c r="G296" s="6">
        <v>1</v>
      </c>
      <c r="I296" s="6"/>
      <c r="J296" s="6"/>
      <c r="K296" s="6"/>
      <c r="L296" s="6"/>
      <c r="M296" s="6"/>
      <c r="N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14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33">
        <f t="shared" si="13"/>
        <v>1</v>
      </c>
      <c r="BN296" s="33" t="s">
        <v>38</v>
      </c>
      <c r="BO296" s="33"/>
      <c r="BP296" s="55"/>
    </row>
    <row r="297" spans="1:68" s="9" customFormat="1" ht="10.5" customHeight="1">
      <c r="A297" s="27">
        <v>13834</v>
      </c>
      <c r="B297" s="55" t="s">
        <v>325</v>
      </c>
      <c r="C297" s="100" t="s">
        <v>228</v>
      </c>
      <c r="D297" s="100" t="s">
        <v>219</v>
      </c>
      <c r="E297" s="6"/>
      <c r="F297" s="6"/>
      <c r="G297" s="6"/>
      <c r="H297" s="6"/>
      <c r="I297" s="6"/>
      <c r="J297" s="6">
        <v>4</v>
      </c>
      <c r="K297" s="6"/>
      <c r="L297" s="6">
        <v>1</v>
      </c>
      <c r="M297" s="6"/>
      <c r="N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14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>
        <v>1</v>
      </c>
      <c r="BE297" s="6">
        <v>1</v>
      </c>
      <c r="BF297" s="6"/>
      <c r="BG297" s="6"/>
      <c r="BH297" s="6"/>
      <c r="BI297" s="6"/>
      <c r="BJ297" s="6">
        <v>1</v>
      </c>
      <c r="BK297" s="6"/>
      <c r="BL297" s="6"/>
      <c r="BM297" s="33">
        <f t="shared" si="13"/>
        <v>8</v>
      </c>
      <c r="BN297" s="28" t="s">
        <v>38</v>
      </c>
      <c r="BO297" s="33"/>
      <c r="BP297" s="55"/>
    </row>
    <row r="298" spans="1:68" s="10" customFormat="1" ht="11.25" hidden="1">
      <c r="A298" s="25" t="str">
        <f>"07482"</f>
        <v>07482</v>
      </c>
      <c r="B298" s="58"/>
      <c r="C298" s="99" t="s">
        <v>6</v>
      </c>
      <c r="D298" s="99" t="s">
        <v>9</v>
      </c>
      <c r="E298" s="5"/>
      <c r="F298" s="5"/>
      <c r="G298" s="5"/>
      <c r="H298" s="28"/>
      <c r="I298" s="5"/>
      <c r="J298" s="5"/>
      <c r="K298" s="5"/>
      <c r="L298" s="5"/>
      <c r="M298" s="5"/>
      <c r="N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13"/>
      <c r="AE298" s="5"/>
      <c r="AF298" s="5"/>
      <c r="AG298" s="5"/>
      <c r="AH298" s="5"/>
      <c r="AI298" s="5"/>
      <c r="AJ298" s="5"/>
      <c r="AK298" s="5"/>
      <c r="AL298" s="5"/>
      <c r="AM298" s="5"/>
      <c r="AN298" s="28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33">
        <f t="shared" si="13"/>
        <v>0</v>
      </c>
      <c r="BN298" s="33" t="s">
        <v>38</v>
      </c>
      <c r="BO298" s="28"/>
      <c r="BP298" s="58"/>
    </row>
    <row r="299" spans="1:68" s="9" customFormat="1" ht="11.25">
      <c r="A299" s="25" t="str">
        <f>"10331"</f>
        <v>10331</v>
      </c>
      <c r="B299" s="58" t="s">
        <v>326</v>
      </c>
      <c r="C299" s="99" t="str">
        <f>"MAGIC CLIP KAPOCS"</f>
        <v>MAGIC CLIP KAPOCS</v>
      </c>
      <c r="D299" s="99" t="str">
        <f>"4,8 MM"</f>
        <v>4,8 MM</v>
      </c>
      <c r="E299" s="6"/>
      <c r="F299" s="6"/>
      <c r="G299" s="6"/>
      <c r="H299" s="28"/>
      <c r="I299" s="6"/>
      <c r="J299" s="6"/>
      <c r="K299" s="6"/>
      <c r="L299" s="6"/>
      <c r="M299" s="6"/>
      <c r="N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14"/>
      <c r="AE299" s="6"/>
      <c r="AF299" s="6"/>
      <c r="AG299" s="6"/>
      <c r="AH299" s="6"/>
      <c r="AI299" s="6"/>
      <c r="AJ299" s="6"/>
      <c r="AK299" s="6"/>
      <c r="AL299" s="6"/>
      <c r="AM299" s="6"/>
      <c r="AN299" s="28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>
        <v>4</v>
      </c>
      <c r="BA299" s="6"/>
      <c r="BB299" s="6"/>
      <c r="BC299" s="6"/>
      <c r="BD299" s="6"/>
      <c r="BE299" s="6"/>
      <c r="BF299" s="6"/>
      <c r="BG299" s="6"/>
      <c r="BH299" s="6"/>
      <c r="BI299" s="6"/>
      <c r="BJ299" s="6">
        <v>2</v>
      </c>
      <c r="BK299" s="6"/>
      <c r="BL299" s="6"/>
      <c r="BM299" s="33">
        <f t="shared" si="13"/>
        <v>6</v>
      </c>
      <c r="BN299" s="33" t="s">
        <v>45</v>
      </c>
      <c r="BO299" s="33"/>
      <c r="BP299" s="55"/>
    </row>
    <row r="300" spans="1:68" s="10" customFormat="1" ht="11.25" hidden="1">
      <c r="A300" s="25" t="str">
        <f aca="true" t="shared" si="14" ref="A300:A305">"07482"</f>
        <v>07482</v>
      </c>
      <c r="B300" s="58"/>
      <c r="C300" s="99" t="s">
        <v>6</v>
      </c>
      <c r="D300" s="99" t="s">
        <v>11</v>
      </c>
      <c r="E300" s="5"/>
      <c r="F300" s="5"/>
      <c r="G300" s="5"/>
      <c r="H300" s="28"/>
      <c r="I300" s="5"/>
      <c r="J300" s="5"/>
      <c r="K300" s="5"/>
      <c r="L300" s="5"/>
      <c r="M300" s="5"/>
      <c r="N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13"/>
      <c r="AE300" s="5"/>
      <c r="AF300" s="5"/>
      <c r="AG300" s="5"/>
      <c r="AH300" s="5"/>
      <c r="AI300" s="5"/>
      <c r="AJ300" s="5"/>
      <c r="AK300" s="5"/>
      <c r="AL300" s="5"/>
      <c r="AM300" s="5"/>
      <c r="AN300" s="28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33">
        <f t="shared" si="13"/>
        <v>0</v>
      </c>
      <c r="BN300" s="33" t="s">
        <v>38</v>
      </c>
      <c r="BO300" s="28"/>
      <c r="BP300" s="58"/>
    </row>
    <row r="301" spans="1:68" s="10" customFormat="1" ht="11.25" hidden="1">
      <c r="A301" s="25" t="str">
        <f t="shared" si="14"/>
        <v>07482</v>
      </c>
      <c r="B301" s="58"/>
      <c r="C301" s="99" t="s">
        <v>6</v>
      </c>
      <c r="D301" s="99" t="s">
        <v>12</v>
      </c>
      <c r="E301" s="5"/>
      <c r="F301" s="5"/>
      <c r="G301" s="5"/>
      <c r="H301" s="28"/>
      <c r="I301" s="5"/>
      <c r="J301" s="5"/>
      <c r="K301" s="5"/>
      <c r="L301" s="5"/>
      <c r="M301" s="5"/>
      <c r="N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13"/>
      <c r="AE301" s="5"/>
      <c r="AF301" s="5"/>
      <c r="AG301" s="5"/>
      <c r="AH301" s="5"/>
      <c r="AI301" s="5"/>
      <c r="AJ301" s="5"/>
      <c r="AK301" s="5"/>
      <c r="AL301" s="5"/>
      <c r="AM301" s="5"/>
      <c r="AN301" s="28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33">
        <f t="shared" si="13"/>
        <v>0</v>
      </c>
      <c r="BN301" s="33" t="s">
        <v>38</v>
      </c>
      <c r="BO301" s="28"/>
      <c r="BP301" s="58"/>
    </row>
    <row r="302" spans="1:68" s="10" customFormat="1" ht="11.25" hidden="1">
      <c r="A302" s="25" t="str">
        <f t="shared" si="14"/>
        <v>07482</v>
      </c>
      <c r="B302" s="58"/>
      <c r="C302" s="99" t="s">
        <v>61</v>
      </c>
      <c r="D302" s="99" t="s">
        <v>8</v>
      </c>
      <c r="E302" s="5"/>
      <c r="F302" s="5"/>
      <c r="G302" s="5"/>
      <c r="H302" s="28"/>
      <c r="I302" s="5"/>
      <c r="J302" s="5"/>
      <c r="K302" s="5"/>
      <c r="L302" s="5"/>
      <c r="M302" s="5"/>
      <c r="N302" s="5"/>
      <c r="P302" s="5"/>
      <c r="Q302" s="5"/>
      <c r="R302" s="5"/>
      <c r="S302" s="5"/>
      <c r="Y302" s="5"/>
      <c r="AD302" s="15"/>
      <c r="AM302" s="5"/>
      <c r="AN302" s="28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33">
        <f t="shared" si="13"/>
        <v>0</v>
      </c>
      <c r="BN302" s="33" t="s">
        <v>38</v>
      </c>
      <c r="BO302" s="28"/>
      <c r="BP302" s="58"/>
    </row>
    <row r="303" spans="1:68" s="10" customFormat="1" ht="11.25" hidden="1">
      <c r="A303" s="25" t="str">
        <f t="shared" si="14"/>
        <v>07482</v>
      </c>
      <c r="B303" s="58"/>
      <c r="C303" s="99" t="s">
        <v>61</v>
      </c>
      <c r="D303" s="99" t="s">
        <v>7</v>
      </c>
      <c r="E303" s="5"/>
      <c r="F303" s="5"/>
      <c r="G303" s="5"/>
      <c r="H303" s="28"/>
      <c r="I303" s="5"/>
      <c r="J303" s="5"/>
      <c r="K303" s="5"/>
      <c r="L303" s="5"/>
      <c r="M303" s="5"/>
      <c r="N303" s="5"/>
      <c r="P303" s="5"/>
      <c r="Q303" s="5"/>
      <c r="R303" s="5"/>
      <c r="S303" s="5"/>
      <c r="Y303" s="5"/>
      <c r="AD303" s="15"/>
      <c r="AM303" s="5"/>
      <c r="AN303" s="28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33">
        <f t="shared" si="13"/>
        <v>0</v>
      </c>
      <c r="BN303" s="33" t="s">
        <v>38</v>
      </c>
      <c r="BO303" s="28"/>
      <c r="BP303" s="58"/>
    </row>
    <row r="304" spans="1:68" s="10" customFormat="1" ht="11.25" hidden="1">
      <c r="A304" s="25" t="str">
        <f t="shared" si="14"/>
        <v>07482</v>
      </c>
      <c r="B304" s="58"/>
      <c r="C304" s="99" t="s">
        <v>61</v>
      </c>
      <c r="D304" s="99" t="s">
        <v>9</v>
      </c>
      <c r="E304" s="5"/>
      <c r="F304" s="5"/>
      <c r="G304" s="5"/>
      <c r="H304" s="28"/>
      <c r="I304" s="5"/>
      <c r="J304" s="5"/>
      <c r="K304" s="5"/>
      <c r="L304" s="5"/>
      <c r="M304" s="5"/>
      <c r="N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13"/>
      <c r="AE304" s="5"/>
      <c r="AF304" s="5"/>
      <c r="AG304" s="5"/>
      <c r="AH304" s="5"/>
      <c r="AI304" s="5"/>
      <c r="AJ304" s="5"/>
      <c r="AK304" s="5"/>
      <c r="AL304" s="5"/>
      <c r="AM304" s="5"/>
      <c r="AN304" s="28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33">
        <f t="shared" si="13"/>
        <v>0</v>
      </c>
      <c r="BN304" s="33" t="s">
        <v>38</v>
      </c>
      <c r="BO304" s="28"/>
      <c r="BP304" s="58"/>
    </row>
    <row r="305" spans="1:68" s="10" customFormat="1" ht="11.25" hidden="1">
      <c r="A305" s="25" t="str">
        <f t="shared" si="14"/>
        <v>07482</v>
      </c>
      <c r="B305" s="58"/>
      <c r="C305" s="99" t="s">
        <v>61</v>
      </c>
      <c r="D305" s="99" t="s">
        <v>10</v>
      </c>
      <c r="E305" s="5"/>
      <c r="F305" s="5"/>
      <c r="G305" s="5"/>
      <c r="H305" s="28"/>
      <c r="I305" s="5"/>
      <c r="J305" s="5"/>
      <c r="K305" s="5"/>
      <c r="L305" s="5"/>
      <c r="M305" s="5"/>
      <c r="N305" s="5"/>
      <c r="P305" s="5"/>
      <c r="Q305" s="5"/>
      <c r="R305" s="5"/>
      <c r="S305" s="5"/>
      <c r="Y305" s="5"/>
      <c r="AD305" s="15"/>
      <c r="AM305" s="5"/>
      <c r="AN305" s="28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33">
        <f t="shared" si="13"/>
        <v>0</v>
      </c>
      <c r="BN305" s="33" t="s">
        <v>38</v>
      </c>
      <c r="BO305" s="28"/>
      <c r="BP305" s="58"/>
    </row>
    <row r="306" spans="1:68" s="9" customFormat="1" ht="11.25">
      <c r="A306" s="25">
        <v>12442</v>
      </c>
      <c r="B306" s="58" t="s">
        <v>327</v>
      </c>
      <c r="C306" s="99" t="s">
        <v>162</v>
      </c>
      <c r="D306" s="99" t="s">
        <v>92</v>
      </c>
      <c r="E306" s="6"/>
      <c r="F306" s="6"/>
      <c r="G306" s="6"/>
      <c r="H306" s="28"/>
      <c r="I306" s="6"/>
      <c r="J306" s="6"/>
      <c r="K306" s="6"/>
      <c r="L306" s="6"/>
      <c r="M306" s="6"/>
      <c r="N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14"/>
      <c r="AE306" s="6"/>
      <c r="AF306" s="6"/>
      <c r="AG306" s="6"/>
      <c r="AH306" s="6"/>
      <c r="AI306" s="6"/>
      <c r="AJ306" s="6"/>
      <c r="AK306" s="6"/>
      <c r="AL306" s="6"/>
      <c r="AM306" s="6"/>
      <c r="AN306" s="28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>
        <v>1</v>
      </c>
      <c r="BA306" s="6"/>
      <c r="BB306" s="6"/>
      <c r="BC306" s="6"/>
      <c r="BD306" s="6"/>
      <c r="BE306" s="6"/>
      <c r="BF306" s="6"/>
      <c r="BG306" s="6"/>
      <c r="BH306" s="6"/>
      <c r="BI306" s="6"/>
      <c r="BJ306" s="6">
        <v>1</v>
      </c>
      <c r="BK306" s="6"/>
      <c r="BL306" s="6"/>
      <c r="BM306" s="33">
        <f t="shared" si="13"/>
        <v>2</v>
      </c>
      <c r="BN306" s="33" t="s">
        <v>38</v>
      </c>
      <c r="BO306" s="33"/>
      <c r="BP306" s="55"/>
    </row>
    <row r="307" spans="1:69" s="10" customFormat="1" ht="22.5">
      <c r="A307" s="25">
        <v>16408</v>
      </c>
      <c r="B307" s="58" t="s">
        <v>328</v>
      </c>
      <c r="C307" s="99" t="s">
        <v>232</v>
      </c>
      <c r="D307" s="99" t="s">
        <v>237</v>
      </c>
      <c r="E307" s="5"/>
      <c r="F307" s="5"/>
      <c r="G307" s="5"/>
      <c r="H307" s="28"/>
      <c r="I307" s="5"/>
      <c r="J307" s="5"/>
      <c r="K307" s="5"/>
      <c r="L307" s="5"/>
      <c r="M307" s="5">
        <v>3</v>
      </c>
      <c r="N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13"/>
      <c r="AE307" s="5"/>
      <c r="AF307" s="5"/>
      <c r="AG307" s="5"/>
      <c r="AH307" s="5"/>
      <c r="AI307" s="5"/>
      <c r="AJ307" s="5"/>
      <c r="AK307" s="5"/>
      <c r="AL307" s="5"/>
      <c r="AM307" s="5"/>
      <c r="AN307" s="28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33">
        <f t="shared" si="13"/>
        <v>3</v>
      </c>
      <c r="BN307" s="33" t="s">
        <v>38</v>
      </c>
      <c r="BO307" s="28"/>
      <c r="BP307" s="58"/>
      <c r="BQ307" s="9"/>
    </row>
    <row r="308" spans="1:68" s="9" customFormat="1" ht="11.25">
      <c r="A308" s="27">
        <v>11010</v>
      </c>
      <c r="B308" s="55" t="s">
        <v>329</v>
      </c>
      <c r="C308" s="100" t="s">
        <v>203</v>
      </c>
      <c r="D308" s="100" t="s">
        <v>49</v>
      </c>
      <c r="E308" s="6"/>
      <c r="F308" s="6"/>
      <c r="G308" s="6"/>
      <c r="I308" s="6"/>
      <c r="J308" s="6"/>
      <c r="K308" s="6">
        <v>1</v>
      </c>
      <c r="L308" s="6"/>
      <c r="M308" s="6"/>
      <c r="N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14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33">
        <f t="shared" si="13"/>
        <v>1</v>
      </c>
      <c r="BN308" s="33" t="s">
        <v>38</v>
      </c>
      <c r="BO308" s="33"/>
      <c r="BP308" s="55"/>
    </row>
    <row r="309" spans="1:68" s="9" customFormat="1" ht="22.5">
      <c r="A309" s="27">
        <v>10007</v>
      </c>
      <c r="B309" s="55" t="s">
        <v>330</v>
      </c>
      <c r="C309" s="100" t="s">
        <v>197</v>
      </c>
      <c r="D309" s="100" t="s">
        <v>196</v>
      </c>
      <c r="E309" s="6">
        <v>5</v>
      </c>
      <c r="F309" s="6"/>
      <c r="G309" s="6"/>
      <c r="I309" s="6"/>
      <c r="J309" s="6">
        <v>5</v>
      </c>
      <c r="K309" s="6">
        <v>1</v>
      </c>
      <c r="L309" s="6"/>
      <c r="M309" s="6"/>
      <c r="N309" s="6"/>
      <c r="P309" s="6"/>
      <c r="Q309" s="6"/>
      <c r="R309" s="6"/>
      <c r="S309" s="6"/>
      <c r="T309" s="6"/>
      <c r="U309" s="6">
        <v>2</v>
      </c>
      <c r="V309" s="6"/>
      <c r="W309" s="6"/>
      <c r="X309" s="6"/>
      <c r="Y309" s="6"/>
      <c r="Z309" s="6"/>
      <c r="AA309" s="6"/>
      <c r="AB309" s="6"/>
      <c r="AC309" s="6">
        <v>1</v>
      </c>
      <c r="AD309" s="14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>
        <v>2</v>
      </c>
      <c r="AX309" s="6"/>
      <c r="AY309" s="6"/>
      <c r="AZ309" s="6"/>
      <c r="BA309" s="6"/>
      <c r="BB309" s="6"/>
      <c r="BC309" s="6"/>
      <c r="BD309" s="6">
        <v>1</v>
      </c>
      <c r="BE309" s="6"/>
      <c r="BF309" s="6"/>
      <c r="BG309" s="6"/>
      <c r="BH309" s="6"/>
      <c r="BI309" s="6">
        <v>5</v>
      </c>
      <c r="BJ309" s="6"/>
      <c r="BK309" s="6">
        <v>5</v>
      </c>
      <c r="BL309" s="6"/>
      <c r="BM309" s="33">
        <f aca="true" t="shared" si="15" ref="BM309:BM368">SUM(E309:BL309)</f>
        <v>27</v>
      </c>
      <c r="BN309" s="33" t="s">
        <v>38</v>
      </c>
      <c r="BO309" s="33"/>
      <c r="BP309" s="55"/>
    </row>
    <row r="310" spans="1:68" s="9" customFormat="1" ht="22.5">
      <c r="A310" s="27">
        <v>10007</v>
      </c>
      <c r="B310" s="55" t="s">
        <v>331</v>
      </c>
      <c r="C310" s="100" t="s">
        <v>197</v>
      </c>
      <c r="D310" s="100" t="s">
        <v>214</v>
      </c>
      <c r="E310" s="6">
        <v>5</v>
      </c>
      <c r="F310" s="6"/>
      <c r="G310" s="6"/>
      <c r="I310" s="6"/>
      <c r="J310" s="6"/>
      <c r="K310" s="6"/>
      <c r="L310" s="6"/>
      <c r="M310" s="6"/>
      <c r="N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14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33">
        <f t="shared" si="15"/>
        <v>5</v>
      </c>
      <c r="BN310" s="33" t="s">
        <v>38</v>
      </c>
      <c r="BO310" s="33"/>
      <c r="BP310" s="55"/>
    </row>
    <row r="311" spans="1:68" s="9" customFormat="1" ht="11.25">
      <c r="A311" s="25" t="str">
        <f>"07654"</f>
        <v>07654</v>
      </c>
      <c r="B311" s="58" t="s">
        <v>332</v>
      </c>
      <c r="C311" s="99" t="str">
        <f>"OLLÓ (PAPÍRVÁGÓ)"</f>
        <v>OLLÓ (PAPÍRVÁGÓ)</v>
      </c>
      <c r="D311" s="99" t="str">
        <f>"21CM"</f>
        <v>21CM</v>
      </c>
      <c r="E311" s="6"/>
      <c r="F311" s="6">
        <v>1</v>
      </c>
      <c r="G311" s="6"/>
      <c r="H311" s="28"/>
      <c r="I311" s="6"/>
      <c r="J311" s="6">
        <v>6</v>
      </c>
      <c r="K311" s="6"/>
      <c r="L311" s="6"/>
      <c r="M311" s="6"/>
      <c r="N311" s="6"/>
      <c r="P311" s="6"/>
      <c r="Q311" s="6"/>
      <c r="R311" s="6">
        <v>1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14"/>
      <c r="AE311" s="6"/>
      <c r="AF311" s="6"/>
      <c r="AG311" s="6"/>
      <c r="AH311" s="6"/>
      <c r="AI311" s="6"/>
      <c r="AJ311" s="6"/>
      <c r="AK311" s="6"/>
      <c r="AL311" s="6"/>
      <c r="AM311" s="6"/>
      <c r="AN311" s="28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>
        <v>1</v>
      </c>
      <c r="BD311" s="6"/>
      <c r="BE311" s="6"/>
      <c r="BF311" s="6"/>
      <c r="BG311" s="6"/>
      <c r="BH311" s="6"/>
      <c r="BI311" s="6"/>
      <c r="BJ311" s="6"/>
      <c r="BK311" s="6">
        <v>1</v>
      </c>
      <c r="BL311" s="6"/>
      <c r="BM311" s="33">
        <f t="shared" si="15"/>
        <v>10</v>
      </c>
      <c r="BN311" s="33" t="s">
        <v>38</v>
      </c>
      <c r="BO311" s="33"/>
      <c r="BP311" s="55"/>
    </row>
    <row r="312" spans="1:68" s="9" customFormat="1" ht="11.25">
      <c r="A312" s="27">
        <v>11697</v>
      </c>
      <c r="B312" s="55" t="s">
        <v>333</v>
      </c>
      <c r="C312" s="100" t="s">
        <v>207</v>
      </c>
      <c r="D312" s="100" t="s">
        <v>49</v>
      </c>
      <c r="E312" s="6"/>
      <c r="F312" s="6"/>
      <c r="G312" s="6"/>
      <c r="I312" s="6"/>
      <c r="J312" s="6"/>
      <c r="K312" s="6"/>
      <c r="L312" s="6"/>
      <c r="M312" s="6"/>
      <c r="N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14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>
        <v>1</v>
      </c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33">
        <f t="shared" si="15"/>
        <v>1</v>
      </c>
      <c r="BN312" s="33" t="s">
        <v>38</v>
      </c>
      <c r="BO312" s="33"/>
      <c r="BP312" s="55"/>
    </row>
    <row r="313" spans="1:68" s="10" customFormat="1" ht="11.25" hidden="1">
      <c r="A313" s="25" t="str">
        <f>"10385"</f>
        <v>10385</v>
      </c>
      <c r="B313" s="58"/>
      <c r="C313" s="99" t="str">
        <f>"SZÁLLÍTÓJEGYZÉK (25X4)"</f>
        <v>SZÁLLÍTÓJEGYZÉK (25X4)</v>
      </c>
      <c r="D313" s="99" t="str">
        <f>"A/6"</f>
        <v>A/6</v>
      </c>
      <c r="E313" s="5"/>
      <c r="F313" s="5"/>
      <c r="G313" s="5"/>
      <c r="H313" s="28"/>
      <c r="I313" s="5"/>
      <c r="J313" s="5"/>
      <c r="K313" s="5"/>
      <c r="L313" s="5"/>
      <c r="M313" s="5"/>
      <c r="N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13"/>
      <c r="AE313" s="5"/>
      <c r="AF313" s="5"/>
      <c r="AG313" s="5"/>
      <c r="AH313" s="5"/>
      <c r="AI313" s="5"/>
      <c r="AJ313" s="5"/>
      <c r="AK313" s="5"/>
      <c r="AL313" s="5"/>
      <c r="AM313" s="5"/>
      <c r="AN313" s="28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33">
        <f t="shared" si="15"/>
        <v>0</v>
      </c>
      <c r="BN313" s="28"/>
      <c r="BO313" s="28"/>
      <c r="BP313" s="58"/>
    </row>
    <row r="314" spans="1:68" s="10" customFormat="1" ht="11.25" hidden="1">
      <c r="A314" s="25" t="str">
        <f>"09411"</f>
        <v>09411</v>
      </c>
      <c r="B314" s="58"/>
      <c r="C314" s="99" t="str">
        <f>"SZÁLLÍTÓLEVÉL"</f>
        <v>SZÁLLÍTÓLEVÉL</v>
      </c>
      <c r="D314" s="99" t="str">
        <f>"25X4 A/5"</f>
        <v>25X4 A/5</v>
      </c>
      <c r="E314" s="5"/>
      <c r="F314" s="5"/>
      <c r="G314" s="5"/>
      <c r="H314" s="28"/>
      <c r="I314" s="5"/>
      <c r="J314" s="5"/>
      <c r="K314" s="5"/>
      <c r="L314" s="5"/>
      <c r="M314" s="5"/>
      <c r="N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13"/>
      <c r="AE314" s="5"/>
      <c r="AF314" s="5"/>
      <c r="AG314" s="5"/>
      <c r="AH314" s="5"/>
      <c r="AI314" s="5"/>
      <c r="AJ314" s="5"/>
      <c r="AK314" s="5"/>
      <c r="AL314" s="5"/>
      <c r="AM314" s="5"/>
      <c r="AN314" s="28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33">
        <f t="shared" si="15"/>
        <v>0</v>
      </c>
      <c r="BN314" s="28"/>
      <c r="BO314" s="28"/>
      <c r="BP314" s="58"/>
    </row>
    <row r="315" spans="1:68" s="9" customFormat="1" ht="11.25">
      <c r="A315" s="25" t="str">
        <f>"01731"</f>
        <v>01731</v>
      </c>
      <c r="B315" s="58" t="s">
        <v>334</v>
      </c>
      <c r="C315" s="99" t="s">
        <v>66</v>
      </c>
      <c r="D315" s="99" t="s">
        <v>67</v>
      </c>
      <c r="E315" s="6"/>
      <c r="F315" s="6"/>
      <c r="G315" s="6"/>
      <c r="H315" s="28"/>
      <c r="I315" s="6"/>
      <c r="J315" s="6">
        <v>1</v>
      </c>
      <c r="K315" s="6"/>
      <c r="L315" s="6"/>
      <c r="M315" s="6"/>
      <c r="N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14"/>
      <c r="AE315" s="6"/>
      <c r="AF315" s="6"/>
      <c r="AG315" s="6"/>
      <c r="AH315" s="6"/>
      <c r="AI315" s="6"/>
      <c r="AJ315" s="6"/>
      <c r="AK315" s="6"/>
      <c r="AL315" s="6"/>
      <c r="AM315" s="6"/>
      <c r="AN315" s="28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33">
        <f t="shared" si="15"/>
        <v>1</v>
      </c>
      <c r="BN315" s="33" t="s">
        <v>38</v>
      </c>
      <c r="BO315" s="33"/>
      <c r="BP315" s="55"/>
    </row>
    <row r="316" spans="1:68" s="10" customFormat="1" ht="11.25" hidden="1">
      <c r="A316" s="25" t="str">
        <f>"10874"</f>
        <v>10874</v>
      </c>
      <c r="B316" s="58"/>
      <c r="C316" s="99" t="str">
        <f>"SZÁMLA"</f>
        <v>SZÁMLA</v>
      </c>
      <c r="D316" s="99" t="str">
        <f>"25X3 A/5 ÁLLÓ HELYZETŰ"</f>
        <v>25X3 A/5 ÁLLÓ HELYZETŰ</v>
      </c>
      <c r="E316" s="5"/>
      <c r="F316" s="5"/>
      <c r="G316" s="5"/>
      <c r="H316" s="28"/>
      <c r="I316" s="5"/>
      <c r="J316" s="5"/>
      <c r="K316" s="5"/>
      <c r="L316" s="5"/>
      <c r="M316" s="5"/>
      <c r="N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13"/>
      <c r="AE316" s="5"/>
      <c r="AF316" s="5"/>
      <c r="AG316" s="5"/>
      <c r="AH316" s="5"/>
      <c r="AI316" s="5"/>
      <c r="AJ316" s="5"/>
      <c r="AK316" s="5"/>
      <c r="AL316" s="5"/>
      <c r="AM316" s="5"/>
      <c r="AN316" s="28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33">
        <f t="shared" si="15"/>
        <v>0</v>
      </c>
      <c r="BN316" s="28"/>
      <c r="BO316" s="28"/>
      <c r="BP316" s="58"/>
    </row>
    <row r="317" spans="1:68" s="10" customFormat="1" ht="11.25" hidden="1">
      <c r="A317" s="25" t="str">
        <f>"11507"</f>
        <v>11507</v>
      </c>
      <c r="B317" s="58"/>
      <c r="C317" s="99" t="str">
        <f>"SZÁMLA"</f>
        <v>SZÁMLA</v>
      </c>
      <c r="D317" s="99" t="str">
        <f>"25X4 A/5 ÁLLÓ HELYZETŰ"</f>
        <v>25X4 A/5 ÁLLÓ HELYZETŰ</v>
      </c>
      <c r="E317" s="5"/>
      <c r="F317" s="5"/>
      <c r="G317" s="5"/>
      <c r="H317" s="28"/>
      <c r="I317" s="5"/>
      <c r="J317" s="5"/>
      <c r="K317" s="5"/>
      <c r="L317" s="5"/>
      <c r="M317" s="5"/>
      <c r="N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13"/>
      <c r="AE317" s="5"/>
      <c r="AF317" s="5"/>
      <c r="AG317" s="5"/>
      <c r="AH317" s="5"/>
      <c r="AI317" s="5"/>
      <c r="AJ317" s="5"/>
      <c r="AK317" s="5"/>
      <c r="AL317" s="5"/>
      <c r="AM317" s="5"/>
      <c r="AN317" s="28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33">
        <f t="shared" si="15"/>
        <v>0</v>
      </c>
      <c r="BN317" s="28"/>
      <c r="BO317" s="28"/>
      <c r="BP317" s="58"/>
    </row>
    <row r="318" spans="1:68" s="10" customFormat="1" ht="11.25" hidden="1">
      <c r="A318" s="25" t="str">
        <f>"08670"</f>
        <v>08670</v>
      </c>
      <c r="B318" s="58"/>
      <c r="C318" s="99" t="str">
        <f>"SZÁMLA"</f>
        <v>SZÁMLA</v>
      </c>
      <c r="D318" s="99" t="str">
        <f>"25X5 A/5 ÁLLÓ HELYZETŰ"</f>
        <v>25X5 A/5 ÁLLÓ HELYZETŰ</v>
      </c>
      <c r="E318" s="5"/>
      <c r="F318" s="5"/>
      <c r="G318" s="5"/>
      <c r="H318" s="28"/>
      <c r="I318" s="5"/>
      <c r="J318" s="5"/>
      <c r="K318" s="5"/>
      <c r="L318" s="5"/>
      <c r="M318" s="5"/>
      <c r="N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13"/>
      <c r="AE318" s="5"/>
      <c r="AF318" s="5"/>
      <c r="AG318" s="5"/>
      <c r="AH318" s="5"/>
      <c r="AI318" s="5"/>
      <c r="AJ318" s="5"/>
      <c r="AK318" s="5"/>
      <c r="AL318" s="5"/>
      <c r="AM318" s="5"/>
      <c r="AN318" s="28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33">
        <f t="shared" si="15"/>
        <v>0</v>
      </c>
      <c r="BN318" s="28"/>
      <c r="BO318" s="28"/>
      <c r="BP318" s="58"/>
    </row>
    <row r="319" spans="1:68" s="10" customFormat="1" ht="11.25" hidden="1">
      <c r="A319" s="25" t="str">
        <f>"11300"</f>
        <v>11300</v>
      </c>
      <c r="B319" s="58"/>
      <c r="C319" s="99" t="str">
        <f>"SZÁMLA"</f>
        <v>SZÁMLA</v>
      </c>
      <c r="D319" s="99" t="str">
        <f>"50X3 A/5 ÁLLÓ HELYZETŰ"</f>
        <v>50X3 A/5 ÁLLÓ HELYZETŰ</v>
      </c>
      <c r="E319" s="5"/>
      <c r="F319" s="5"/>
      <c r="G319" s="5"/>
      <c r="H319" s="28"/>
      <c r="I319" s="5"/>
      <c r="J319" s="5"/>
      <c r="K319" s="5"/>
      <c r="L319" s="5"/>
      <c r="M319" s="5"/>
      <c r="N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13"/>
      <c r="AE319" s="5"/>
      <c r="AF319" s="5"/>
      <c r="AG319" s="5"/>
      <c r="AH319" s="5"/>
      <c r="AI319" s="5"/>
      <c r="AJ319" s="5"/>
      <c r="AK319" s="5"/>
      <c r="AL319" s="5"/>
      <c r="AM319" s="5"/>
      <c r="AN319" s="28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33">
        <f t="shared" si="15"/>
        <v>0</v>
      </c>
      <c r="BN319" s="28"/>
      <c r="BO319" s="28"/>
      <c r="BP319" s="58"/>
    </row>
    <row r="320" spans="1:68" s="10" customFormat="1" ht="11.25" hidden="1">
      <c r="A320" s="25" t="str">
        <f>"08675"</f>
        <v>08675</v>
      </c>
      <c r="B320" s="58"/>
      <c r="C320" s="99" t="str">
        <f>"SZÁMLA"</f>
        <v>SZÁMLA</v>
      </c>
      <c r="D320" s="99" t="str">
        <f>"50X3 A/5 FEKVŐ HELYZETŰ"</f>
        <v>50X3 A/5 FEKVŐ HELYZETŰ</v>
      </c>
      <c r="E320" s="5"/>
      <c r="F320" s="5"/>
      <c r="G320" s="5"/>
      <c r="H320" s="28"/>
      <c r="I320" s="5"/>
      <c r="J320" s="5"/>
      <c r="K320" s="5"/>
      <c r="L320" s="5"/>
      <c r="M320" s="5"/>
      <c r="N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13"/>
      <c r="AE320" s="5"/>
      <c r="AF320" s="5"/>
      <c r="AG320" s="5"/>
      <c r="AH320" s="5"/>
      <c r="AI320" s="5"/>
      <c r="AJ320" s="5"/>
      <c r="AK320" s="5"/>
      <c r="AL320" s="5"/>
      <c r="AM320" s="5"/>
      <c r="AN320" s="28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33">
        <f t="shared" si="15"/>
        <v>0</v>
      </c>
      <c r="BN320" s="28"/>
      <c r="BO320" s="28"/>
      <c r="BP320" s="58"/>
    </row>
    <row r="321" spans="1:68" s="10" customFormat="1" ht="11.25" hidden="1">
      <c r="A321" s="25" t="str">
        <f>"11141"</f>
        <v>11141</v>
      </c>
      <c r="B321" s="58"/>
      <c r="C321" s="99" t="str">
        <f>"SZÁMLA (ÍVESÍTETT)"</f>
        <v>SZÁMLA (ÍVESÍTETT)</v>
      </c>
      <c r="D321" s="99" t="str">
        <f>"A/4"</f>
        <v>A/4</v>
      </c>
      <c r="E321" s="5"/>
      <c r="F321" s="5"/>
      <c r="G321" s="5"/>
      <c r="H321" s="28"/>
      <c r="I321" s="5"/>
      <c r="J321" s="5"/>
      <c r="K321" s="5"/>
      <c r="L321" s="5"/>
      <c r="M321" s="5"/>
      <c r="N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13"/>
      <c r="AE321" s="5"/>
      <c r="AF321" s="5"/>
      <c r="AG321" s="5"/>
      <c r="AH321" s="5"/>
      <c r="AI321" s="5"/>
      <c r="AJ321" s="5"/>
      <c r="AK321" s="5"/>
      <c r="AL321" s="5"/>
      <c r="AM321" s="5"/>
      <c r="AN321" s="28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33">
        <f t="shared" si="15"/>
        <v>0</v>
      </c>
      <c r="BN321" s="28"/>
      <c r="BO321" s="28"/>
      <c r="BP321" s="58"/>
    </row>
    <row r="322" spans="1:68" s="10" customFormat="1" ht="33.75" hidden="1">
      <c r="A322" s="25" t="str">
        <f>"07714"</f>
        <v>07714</v>
      </c>
      <c r="B322" s="58"/>
      <c r="C322" s="99" t="str">
        <f>"SZÁMLA + CSEKK  (ÍVESÍTETT)"</f>
        <v>SZÁMLA + CSEKK  (ÍVESÍTETT)</v>
      </c>
      <c r="D322" s="99" t="str">
        <f>"A/4 (VÍZDÍJSZÁMLA,TÁVHŐSZÁMLA)"</f>
        <v>A/4 (VÍZDÍJSZÁMLA,TÁVHŐSZÁMLA)</v>
      </c>
      <c r="E322" s="5"/>
      <c r="F322" s="5"/>
      <c r="G322" s="5"/>
      <c r="H322" s="28"/>
      <c r="I322" s="5"/>
      <c r="J322" s="5"/>
      <c r="K322" s="5"/>
      <c r="L322" s="5"/>
      <c r="M322" s="5"/>
      <c r="N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13"/>
      <c r="AE322" s="5"/>
      <c r="AF322" s="5"/>
      <c r="AG322" s="5"/>
      <c r="AH322" s="5"/>
      <c r="AI322" s="5"/>
      <c r="AJ322" s="5"/>
      <c r="AK322" s="5"/>
      <c r="AL322" s="5"/>
      <c r="AM322" s="5"/>
      <c r="AN322" s="28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33">
        <f t="shared" si="15"/>
        <v>0</v>
      </c>
      <c r="BN322" s="28"/>
      <c r="BO322" s="28"/>
      <c r="BP322" s="58"/>
    </row>
    <row r="323" spans="1:69" s="10" customFormat="1" ht="22.5" hidden="1">
      <c r="A323" s="25" t="str">
        <f>"09206"</f>
        <v>09206</v>
      </c>
      <c r="B323" s="58"/>
      <c r="C323" s="99" t="str">
        <f>"SZIGORÚ SZÁMADÁSÚ NYOMTATVÁNY NYILV."</f>
        <v>SZIGORÚ SZÁMADÁSÚ NYOMTATVÁNY NYILV.</v>
      </c>
      <c r="D323" s="99" t="str">
        <f>"A/4 D13-77"</f>
        <v>A/4 D13-77</v>
      </c>
      <c r="E323" s="5"/>
      <c r="F323" s="5"/>
      <c r="G323" s="5"/>
      <c r="H323" s="28"/>
      <c r="I323" s="5"/>
      <c r="J323" s="5"/>
      <c r="K323" s="5"/>
      <c r="L323" s="5"/>
      <c r="M323" s="5"/>
      <c r="N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13"/>
      <c r="AE323" s="5"/>
      <c r="AF323" s="5"/>
      <c r="AG323" s="5"/>
      <c r="AH323" s="5"/>
      <c r="AI323" s="5"/>
      <c r="AJ323" s="5"/>
      <c r="AK323" s="5"/>
      <c r="AL323" s="5"/>
      <c r="AM323" s="5"/>
      <c r="AN323" s="28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33">
        <f t="shared" si="15"/>
        <v>0</v>
      </c>
      <c r="BN323" s="33" t="s">
        <v>38</v>
      </c>
      <c r="BO323" s="28"/>
      <c r="BP323" s="58"/>
      <c r="BQ323" s="9"/>
    </row>
    <row r="324" spans="1:69" s="9" customFormat="1" ht="11.25" hidden="1">
      <c r="A324" s="25" t="str">
        <f>"09986"</f>
        <v>09986</v>
      </c>
      <c r="B324" s="58"/>
      <c r="C324" s="99" t="str">
        <f>"SZIVACS (TÁBLATÖRLŐ)"</f>
        <v>SZIVACS (TÁBLATÖRLŐ)</v>
      </c>
      <c r="D324" s="99"/>
      <c r="E324" s="6"/>
      <c r="F324" s="6"/>
      <c r="G324" s="6"/>
      <c r="H324" s="28"/>
      <c r="I324" s="6"/>
      <c r="J324" s="6"/>
      <c r="K324" s="6"/>
      <c r="L324" s="6"/>
      <c r="M324" s="6"/>
      <c r="N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14"/>
      <c r="AE324" s="6"/>
      <c r="AF324" s="6"/>
      <c r="AG324" s="6"/>
      <c r="AH324" s="6"/>
      <c r="AI324" s="6"/>
      <c r="AJ324" s="6"/>
      <c r="AK324" s="6"/>
      <c r="AL324" s="6"/>
      <c r="AM324" s="6"/>
      <c r="AN324" s="28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33">
        <f t="shared" si="15"/>
        <v>0</v>
      </c>
      <c r="BN324" s="33" t="s">
        <v>38</v>
      </c>
      <c r="BO324" s="33"/>
      <c r="BP324" s="55"/>
      <c r="BQ324" s="10"/>
    </row>
    <row r="325" spans="1:68" s="9" customFormat="1" ht="11.25">
      <c r="A325" s="25" t="str">
        <f>"07593"</f>
        <v>07593</v>
      </c>
      <c r="B325" s="58" t="s">
        <v>335</v>
      </c>
      <c r="C325" s="99" t="str">
        <f>"RADÍR"</f>
        <v>RADÍR</v>
      </c>
      <c r="D325" s="99" t="str">
        <f>"TIKKY 20"</f>
        <v>TIKKY 20</v>
      </c>
      <c r="E325" s="6">
        <v>2</v>
      </c>
      <c r="F325" s="6"/>
      <c r="G325" s="6"/>
      <c r="H325" s="28"/>
      <c r="I325" s="6"/>
      <c r="J325" s="6">
        <v>4</v>
      </c>
      <c r="K325" s="6"/>
      <c r="L325" s="6"/>
      <c r="M325" s="6"/>
      <c r="N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>
        <v>1</v>
      </c>
      <c r="AA325" s="6"/>
      <c r="AB325" s="6"/>
      <c r="AC325" s="6"/>
      <c r="AD325" s="14"/>
      <c r="AE325" s="6"/>
      <c r="AF325" s="6"/>
      <c r="AG325" s="6"/>
      <c r="AH325" s="6"/>
      <c r="AI325" s="6"/>
      <c r="AJ325" s="6"/>
      <c r="AK325" s="6"/>
      <c r="AL325" s="6"/>
      <c r="AM325" s="6"/>
      <c r="AN325" s="28"/>
      <c r="AO325" s="6"/>
      <c r="AP325" s="6"/>
      <c r="AQ325" s="6"/>
      <c r="AR325" s="6"/>
      <c r="AS325" s="6"/>
      <c r="AT325" s="6"/>
      <c r="AU325" s="6"/>
      <c r="AV325" s="6"/>
      <c r="AW325" s="6"/>
      <c r="AX325" s="6">
        <v>1</v>
      </c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>
        <v>2</v>
      </c>
      <c r="BJ325" s="6"/>
      <c r="BK325" s="6"/>
      <c r="BL325" s="6"/>
      <c r="BM325" s="33">
        <f t="shared" si="15"/>
        <v>10</v>
      </c>
      <c r="BN325" s="33" t="s">
        <v>38</v>
      </c>
      <c r="BO325" s="33"/>
      <c r="BP325" s="55"/>
    </row>
    <row r="326" spans="1:68" s="9" customFormat="1" ht="11.25">
      <c r="A326" s="25" t="str">
        <f>"03671"</f>
        <v>03671</v>
      </c>
      <c r="B326" s="58" t="s">
        <v>336</v>
      </c>
      <c r="C326" s="99" t="s">
        <v>54</v>
      </c>
      <c r="D326" s="99"/>
      <c r="E326" s="6">
        <v>1</v>
      </c>
      <c r="F326" s="6">
        <v>4</v>
      </c>
      <c r="G326" s="6">
        <v>3</v>
      </c>
      <c r="H326" s="28"/>
      <c r="I326" s="6"/>
      <c r="J326" s="6">
        <v>2</v>
      </c>
      <c r="K326" s="6"/>
      <c r="L326" s="6"/>
      <c r="M326" s="6"/>
      <c r="N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14"/>
      <c r="AE326" s="6"/>
      <c r="AF326" s="6"/>
      <c r="AG326" s="6"/>
      <c r="AH326" s="6"/>
      <c r="AI326" s="6"/>
      <c r="AJ326" s="6"/>
      <c r="AK326" s="6"/>
      <c r="AL326" s="6"/>
      <c r="AM326" s="6"/>
      <c r="AN326" s="28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33">
        <f t="shared" si="15"/>
        <v>10</v>
      </c>
      <c r="BN326" s="33" t="s">
        <v>38</v>
      </c>
      <c r="BO326" s="33"/>
      <c r="BP326" s="55"/>
    </row>
    <row r="327" spans="1:68" s="9" customFormat="1" ht="11.25">
      <c r="A327" s="25" t="str">
        <f>"05613"</f>
        <v>05613</v>
      </c>
      <c r="B327" s="58" t="s">
        <v>337</v>
      </c>
      <c r="C327" s="99" t="s">
        <v>55</v>
      </c>
      <c r="D327" s="99"/>
      <c r="E327" s="6"/>
      <c r="F327" s="6">
        <v>2</v>
      </c>
      <c r="G327" s="6"/>
      <c r="H327" s="28"/>
      <c r="I327" s="6"/>
      <c r="J327" s="6"/>
      <c r="K327" s="6"/>
      <c r="L327" s="6"/>
      <c r="M327" s="6"/>
      <c r="N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14"/>
      <c r="AE327" s="6"/>
      <c r="AF327" s="6"/>
      <c r="AG327" s="6"/>
      <c r="AH327" s="6"/>
      <c r="AI327" s="6"/>
      <c r="AJ327" s="6"/>
      <c r="AK327" s="6"/>
      <c r="AL327" s="6"/>
      <c r="AM327" s="6"/>
      <c r="AN327" s="28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33">
        <f t="shared" si="15"/>
        <v>2</v>
      </c>
      <c r="BN327" s="33" t="s">
        <v>38</v>
      </c>
      <c r="BO327" s="33"/>
      <c r="BP327" s="55"/>
    </row>
    <row r="328" spans="1:69" s="10" customFormat="1" ht="11.25">
      <c r="A328" s="25" t="str">
        <f>"07653"</f>
        <v>07653</v>
      </c>
      <c r="B328" s="58" t="s">
        <v>338</v>
      </c>
      <c r="C328" s="99" t="str">
        <f>"RAGASZTÓ STIFT"</f>
        <v>RAGASZTÓ STIFT</v>
      </c>
      <c r="D328" s="99" t="str">
        <f>"STANDARD"</f>
        <v>STANDARD</v>
      </c>
      <c r="E328" s="5"/>
      <c r="F328" s="5">
        <v>2</v>
      </c>
      <c r="G328" s="5"/>
      <c r="H328" s="28"/>
      <c r="I328" s="5"/>
      <c r="J328" s="5"/>
      <c r="K328" s="5"/>
      <c r="L328" s="5"/>
      <c r="M328" s="5"/>
      <c r="N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>
        <v>1</v>
      </c>
      <c r="AA328" s="5"/>
      <c r="AB328" s="5"/>
      <c r="AC328" s="5"/>
      <c r="AD328" s="13"/>
      <c r="AE328" s="5"/>
      <c r="AF328" s="5"/>
      <c r="AG328" s="5"/>
      <c r="AH328" s="5"/>
      <c r="AI328" s="5"/>
      <c r="AJ328" s="5"/>
      <c r="AK328" s="5"/>
      <c r="AL328" s="5"/>
      <c r="AM328" s="5"/>
      <c r="AN328" s="28"/>
      <c r="AO328" s="5"/>
      <c r="AP328" s="5"/>
      <c r="AQ328" s="5"/>
      <c r="AR328" s="5"/>
      <c r="AS328" s="5"/>
      <c r="AT328" s="5"/>
      <c r="AU328" s="5"/>
      <c r="AV328" s="5">
        <v>1</v>
      </c>
      <c r="AW328" s="5"/>
      <c r="AX328" s="5"/>
      <c r="AY328" s="5"/>
      <c r="AZ328" s="5"/>
      <c r="BA328" s="5"/>
      <c r="BB328" s="5"/>
      <c r="BC328" s="5"/>
      <c r="BD328" s="5">
        <v>1</v>
      </c>
      <c r="BE328" s="5"/>
      <c r="BF328" s="5"/>
      <c r="BG328" s="5"/>
      <c r="BH328" s="5"/>
      <c r="BI328" s="5"/>
      <c r="BJ328" s="5"/>
      <c r="BK328" s="5"/>
      <c r="BL328" s="5"/>
      <c r="BM328" s="33">
        <f t="shared" si="15"/>
        <v>5</v>
      </c>
      <c r="BN328" s="33" t="s">
        <v>38</v>
      </c>
      <c r="BO328" s="28"/>
      <c r="BP328" s="58"/>
      <c r="BQ328" s="9"/>
    </row>
    <row r="329" spans="1:68" s="9" customFormat="1" ht="11.25" hidden="1">
      <c r="A329" s="25" t="str">
        <f>"07446"</f>
        <v>07446</v>
      </c>
      <c r="B329" s="58"/>
      <c r="C329" s="99" t="str">
        <f>"TÁBLATŰ"</f>
        <v>TÁBLATŰ</v>
      </c>
      <c r="D329" s="99"/>
      <c r="E329" s="6"/>
      <c r="F329" s="6"/>
      <c r="G329" s="6"/>
      <c r="H329" s="28"/>
      <c r="I329" s="6"/>
      <c r="J329" s="6"/>
      <c r="K329" s="6"/>
      <c r="L329" s="6"/>
      <c r="M329" s="6"/>
      <c r="N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14"/>
      <c r="AE329" s="6"/>
      <c r="AF329" s="6"/>
      <c r="AG329" s="6"/>
      <c r="AH329" s="6"/>
      <c r="AI329" s="6"/>
      <c r="AJ329" s="6"/>
      <c r="AK329" s="6"/>
      <c r="AL329" s="6"/>
      <c r="AM329" s="6"/>
      <c r="AN329" s="28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33">
        <f t="shared" si="15"/>
        <v>0</v>
      </c>
      <c r="BN329" s="33"/>
      <c r="BO329" s="33"/>
      <c r="BP329" s="55"/>
    </row>
    <row r="330" spans="1:68" s="9" customFormat="1" ht="11.25" hidden="1">
      <c r="A330" s="25" t="str">
        <f>"10007"</f>
        <v>10007</v>
      </c>
      <c r="B330" s="58"/>
      <c r="C330" s="99" t="str">
        <f>"TASAK"</f>
        <v>TASAK</v>
      </c>
      <c r="D330" s="99"/>
      <c r="E330" s="6"/>
      <c r="F330" s="6"/>
      <c r="G330" s="6"/>
      <c r="H330" s="28"/>
      <c r="I330" s="6"/>
      <c r="J330" s="6"/>
      <c r="K330" s="6"/>
      <c r="L330" s="6"/>
      <c r="M330" s="6"/>
      <c r="N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14"/>
      <c r="AE330" s="6"/>
      <c r="AF330" s="6"/>
      <c r="AG330" s="6"/>
      <c r="AH330" s="6"/>
      <c r="AI330" s="6"/>
      <c r="AJ330" s="6"/>
      <c r="AK330" s="6"/>
      <c r="AL330" s="6"/>
      <c r="AM330" s="6"/>
      <c r="AN330" s="28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33">
        <f t="shared" si="15"/>
        <v>0</v>
      </c>
      <c r="BN330" s="33"/>
      <c r="BO330" s="33"/>
      <c r="BP330" s="55"/>
    </row>
    <row r="331" spans="1:68" s="9" customFormat="1" ht="11.25" hidden="1">
      <c r="A331" s="25" t="str">
        <f>"11010"</f>
        <v>11010</v>
      </c>
      <c r="B331" s="58"/>
      <c r="C331" s="99" t="str">
        <f>"TASAK (CIPZÁRAS)"</f>
        <v>TASAK (CIPZÁRAS)</v>
      </c>
      <c r="D331" s="99" t="str">
        <f>"A/4"</f>
        <v>A/4</v>
      </c>
      <c r="E331" s="6"/>
      <c r="F331" s="6"/>
      <c r="G331" s="6"/>
      <c r="H331" s="28"/>
      <c r="I331" s="6"/>
      <c r="J331" s="6"/>
      <c r="K331" s="6"/>
      <c r="L331" s="6"/>
      <c r="M331" s="6"/>
      <c r="N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14"/>
      <c r="AE331" s="6"/>
      <c r="AF331" s="6"/>
      <c r="AG331" s="6"/>
      <c r="AH331" s="6"/>
      <c r="AI331" s="6"/>
      <c r="AJ331" s="6"/>
      <c r="AK331" s="6"/>
      <c r="AL331" s="6"/>
      <c r="AM331" s="6"/>
      <c r="AN331" s="28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33">
        <f t="shared" si="15"/>
        <v>0</v>
      </c>
      <c r="BN331" s="33"/>
      <c r="BO331" s="33"/>
      <c r="BP331" s="55"/>
    </row>
    <row r="332" spans="1:69" s="9" customFormat="1" ht="11.25" hidden="1">
      <c r="A332" s="25" t="str">
        <f>"09413"</f>
        <v>09413</v>
      </c>
      <c r="B332" s="58"/>
      <c r="C332" s="99" t="str">
        <f>"TASAK (CIPZÁRAS)"</f>
        <v>TASAK (CIPZÁRAS)</v>
      </c>
      <c r="D332" s="99" t="str">
        <f>"A/5"</f>
        <v>A/5</v>
      </c>
      <c r="E332" s="6"/>
      <c r="F332" s="6"/>
      <c r="G332" s="6"/>
      <c r="H332" s="28"/>
      <c r="I332" s="6"/>
      <c r="J332" s="6"/>
      <c r="K332" s="6"/>
      <c r="L332" s="6"/>
      <c r="M332" s="6"/>
      <c r="N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14"/>
      <c r="AE332" s="6"/>
      <c r="AF332" s="6"/>
      <c r="AG332" s="6"/>
      <c r="AH332" s="6"/>
      <c r="AI332" s="6"/>
      <c r="AJ332" s="6"/>
      <c r="AK332" s="6"/>
      <c r="AL332" s="6"/>
      <c r="AM332" s="6"/>
      <c r="AN332" s="28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33">
        <f t="shared" si="15"/>
        <v>0</v>
      </c>
      <c r="BN332" s="33"/>
      <c r="BO332" s="33"/>
      <c r="BP332" s="55"/>
      <c r="BQ332" s="10"/>
    </row>
    <row r="333" spans="1:69" s="10" customFormat="1" ht="11.25" hidden="1">
      <c r="A333" s="25" t="str">
        <f>"07585"</f>
        <v>07585</v>
      </c>
      <c r="B333" s="58"/>
      <c r="C333" s="99" t="str">
        <f>"TB NAPTÁR"</f>
        <v>TB NAPTÁR</v>
      </c>
      <c r="D333" s="99"/>
      <c r="E333" s="5"/>
      <c r="F333" s="5"/>
      <c r="G333" s="5"/>
      <c r="H333" s="28"/>
      <c r="I333" s="5"/>
      <c r="J333" s="5"/>
      <c r="K333" s="5"/>
      <c r="L333" s="5"/>
      <c r="M333" s="5"/>
      <c r="N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13"/>
      <c r="AE333" s="5"/>
      <c r="AF333" s="5"/>
      <c r="AG333" s="5"/>
      <c r="AH333" s="5"/>
      <c r="AI333" s="5"/>
      <c r="AJ333" s="5"/>
      <c r="AK333" s="5"/>
      <c r="AL333" s="5"/>
      <c r="AM333" s="5"/>
      <c r="AN333" s="28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33">
        <f t="shared" si="15"/>
        <v>0</v>
      </c>
      <c r="BN333" s="28"/>
      <c r="BO333" s="28"/>
      <c r="BP333" s="58"/>
      <c r="BQ333" s="9"/>
    </row>
    <row r="334" spans="1:68" s="9" customFormat="1" ht="11.25" hidden="1">
      <c r="A334" s="25" t="str">
        <f>"08447"</f>
        <v>08447</v>
      </c>
      <c r="B334" s="58"/>
      <c r="C334" s="99" t="str">
        <f>"TELEFONBLOKK"</f>
        <v>TELEFONBLOKK</v>
      </c>
      <c r="D334" s="99"/>
      <c r="E334" s="6"/>
      <c r="F334" s="6"/>
      <c r="G334" s="6"/>
      <c r="H334" s="28"/>
      <c r="I334" s="6"/>
      <c r="J334" s="6"/>
      <c r="K334" s="6"/>
      <c r="L334" s="6"/>
      <c r="M334" s="6"/>
      <c r="N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14"/>
      <c r="AE334" s="6"/>
      <c r="AF334" s="6"/>
      <c r="AG334" s="6"/>
      <c r="AH334" s="6"/>
      <c r="AI334" s="6"/>
      <c r="AJ334" s="6"/>
      <c r="AK334" s="6"/>
      <c r="AL334" s="6"/>
      <c r="AM334" s="6"/>
      <c r="AN334" s="28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33">
        <f t="shared" si="15"/>
        <v>0</v>
      </c>
      <c r="BN334" s="33"/>
      <c r="BO334" s="33"/>
      <c r="BP334" s="55"/>
    </row>
    <row r="335" spans="1:68" s="9" customFormat="1" ht="11.25" hidden="1">
      <c r="A335" s="25" t="str">
        <f>"12984"</f>
        <v>12984</v>
      </c>
      <c r="B335" s="58"/>
      <c r="C335" s="99" t="str">
        <f>"TÉPŐTÖMB (FEHÉR)"</f>
        <v>TÉPŐTÖMB (FEHÉR)</v>
      </c>
      <c r="D335" s="99" t="str">
        <f>"009X009 CM"</f>
        <v>009X009 CM</v>
      </c>
      <c r="E335" s="6"/>
      <c r="F335" s="6"/>
      <c r="G335" s="6"/>
      <c r="H335" s="28"/>
      <c r="I335" s="6"/>
      <c r="J335" s="6"/>
      <c r="K335" s="6"/>
      <c r="L335" s="6"/>
      <c r="M335" s="6"/>
      <c r="N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14"/>
      <c r="AE335" s="6"/>
      <c r="AF335" s="6"/>
      <c r="AG335" s="6"/>
      <c r="AH335" s="6"/>
      <c r="AI335" s="6"/>
      <c r="AJ335" s="6"/>
      <c r="AK335" s="6"/>
      <c r="AL335" s="6"/>
      <c r="AM335" s="6"/>
      <c r="AN335" s="28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33">
        <f t="shared" si="15"/>
        <v>0</v>
      </c>
      <c r="BN335" s="33"/>
      <c r="BO335" s="33"/>
      <c r="BP335" s="55"/>
    </row>
    <row r="336" spans="1:68" s="9" customFormat="1" ht="11.25">
      <c r="A336" s="25" t="str">
        <f>"07497"</f>
        <v>07497</v>
      </c>
      <c r="B336" s="58" t="s">
        <v>339</v>
      </c>
      <c r="C336" s="99" t="str">
        <f>"RAGASZTÓ SZALAG (CELLUX)"</f>
        <v>RAGASZTÓ SZALAG (CELLUX)</v>
      </c>
      <c r="D336" s="99" t="str">
        <f>"KIS TEKERCS"</f>
        <v>KIS TEKERCS</v>
      </c>
      <c r="E336" s="6">
        <v>1</v>
      </c>
      <c r="F336" s="6"/>
      <c r="G336" s="6">
        <v>10</v>
      </c>
      <c r="H336" s="28"/>
      <c r="I336" s="6"/>
      <c r="J336" s="6"/>
      <c r="K336" s="6"/>
      <c r="L336" s="6"/>
      <c r="M336" s="6"/>
      <c r="N336" s="6"/>
      <c r="P336" s="6"/>
      <c r="Q336" s="6"/>
      <c r="R336" s="6"/>
      <c r="S336" s="6"/>
      <c r="T336" s="6"/>
      <c r="U336" s="6">
        <v>1</v>
      </c>
      <c r="V336" s="6"/>
      <c r="W336" s="6"/>
      <c r="X336" s="6"/>
      <c r="Y336" s="6"/>
      <c r="Z336" s="6"/>
      <c r="AA336" s="6"/>
      <c r="AB336" s="6"/>
      <c r="AC336" s="6"/>
      <c r="AD336" s="14"/>
      <c r="AE336" s="6"/>
      <c r="AF336" s="6"/>
      <c r="AG336" s="6"/>
      <c r="AH336" s="6"/>
      <c r="AI336" s="6"/>
      <c r="AJ336" s="6"/>
      <c r="AK336" s="6"/>
      <c r="AL336" s="6"/>
      <c r="AM336" s="6"/>
      <c r="AN336" s="28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>
        <v>1</v>
      </c>
      <c r="BE336" s="6"/>
      <c r="BF336" s="6"/>
      <c r="BG336" s="6"/>
      <c r="BH336" s="6"/>
      <c r="BI336" s="6"/>
      <c r="BJ336" s="6"/>
      <c r="BK336" s="6"/>
      <c r="BL336" s="6"/>
      <c r="BM336" s="33">
        <f t="shared" si="15"/>
        <v>13</v>
      </c>
      <c r="BN336" s="33" t="s">
        <v>38</v>
      </c>
      <c r="BO336" s="33"/>
      <c r="BP336" s="55"/>
    </row>
    <row r="337" spans="1:68" s="9" customFormat="1" ht="11.25">
      <c r="A337" s="25" t="str">
        <f>"07496"</f>
        <v>07496</v>
      </c>
      <c r="B337" s="58" t="s">
        <v>340</v>
      </c>
      <c r="C337" s="99" t="str">
        <f>"RAGASZTÓ SZALAG (CELLUX)"</f>
        <v>RAGASZTÓ SZALAG (CELLUX)</v>
      </c>
      <c r="D337" s="99" t="str">
        <f>"KÖZEPES TEKERCS"</f>
        <v>KÖZEPES TEKERCS</v>
      </c>
      <c r="E337" s="6">
        <v>1</v>
      </c>
      <c r="F337" s="6">
        <v>2</v>
      </c>
      <c r="G337" s="6"/>
      <c r="H337" s="28"/>
      <c r="I337" s="6"/>
      <c r="J337" s="6">
        <v>10</v>
      </c>
      <c r="K337" s="6"/>
      <c r="L337" s="6"/>
      <c r="M337" s="6">
        <v>3</v>
      </c>
      <c r="N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14"/>
      <c r="AE337" s="6"/>
      <c r="AF337" s="6"/>
      <c r="AG337" s="6"/>
      <c r="AH337" s="6"/>
      <c r="AI337" s="6"/>
      <c r="AJ337" s="6"/>
      <c r="AK337" s="6"/>
      <c r="AL337" s="6"/>
      <c r="AM337" s="6"/>
      <c r="AN337" s="28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>
        <v>1</v>
      </c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33">
        <f t="shared" si="15"/>
        <v>17</v>
      </c>
      <c r="BN337" s="33" t="s">
        <v>38</v>
      </c>
      <c r="BO337" s="33"/>
      <c r="BP337" s="55"/>
    </row>
    <row r="338" spans="1:68" s="9" customFormat="1" ht="11.25" hidden="1">
      <c r="A338" s="25" t="str">
        <f>"07857"</f>
        <v>07857</v>
      </c>
      <c r="B338" s="58"/>
      <c r="C338" s="99" t="s">
        <v>32</v>
      </c>
      <c r="D338" s="99" t="str">
        <f>"051X038 MM"</f>
        <v>051X038 MM</v>
      </c>
      <c r="E338" s="6"/>
      <c r="F338" s="6"/>
      <c r="G338" s="6"/>
      <c r="H338" s="28"/>
      <c r="I338" s="6"/>
      <c r="J338" s="6"/>
      <c r="K338" s="6"/>
      <c r="L338" s="6"/>
      <c r="M338" s="6"/>
      <c r="N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14"/>
      <c r="AE338" s="6"/>
      <c r="AF338" s="6"/>
      <c r="AG338" s="6"/>
      <c r="AH338" s="6"/>
      <c r="AI338" s="6"/>
      <c r="AJ338" s="6"/>
      <c r="AK338" s="6"/>
      <c r="AL338" s="6"/>
      <c r="AM338" s="6"/>
      <c r="AN338" s="28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33">
        <f t="shared" si="15"/>
        <v>0</v>
      </c>
      <c r="BN338" s="33" t="s">
        <v>38</v>
      </c>
      <c r="BO338" s="33"/>
      <c r="BP338" s="55"/>
    </row>
    <row r="339" spans="1:68" s="9" customFormat="1" ht="11.25">
      <c r="A339" s="25" t="str">
        <f>"07495"</f>
        <v>07495</v>
      </c>
      <c r="B339" s="58" t="s">
        <v>341</v>
      </c>
      <c r="C339" s="99" t="str">
        <f>"RAGASZTÓ SZALAG (CELLUX)"</f>
        <v>RAGASZTÓ SZALAG (CELLUX)</v>
      </c>
      <c r="D339" s="99" t="str">
        <f>"NAGY TEKERCS"</f>
        <v>NAGY TEKERCS</v>
      </c>
      <c r="E339" s="6"/>
      <c r="F339" s="6">
        <v>2</v>
      </c>
      <c r="G339" s="6"/>
      <c r="H339" s="28"/>
      <c r="I339" s="6"/>
      <c r="J339" s="6"/>
      <c r="K339" s="6"/>
      <c r="L339" s="6"/>
      <c r="M339" s="6"/>
      <c r="N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14"/>
      <c r="AE339" s="6"/>
      <c r="AF339" s="6"/>
      <c r="AG339" s="6"/>
      <c r="AH339" s="6"/>
      <c r="AI339" s="6"/>
      <c r="AJ339" s="6"/>
      <c r="AK339" s="6"/>
      <c r="AL339" s="6"/>
      <c r="AM339" s="6"/>
      <c r="AN339" s="28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33">
        <f t="shared" si="15"/>
        <v>2</v>
      </c>
      <c r="BN339" s="33" t="s">
        <v>38</v>
      </c>
      <c r="BO339" s="33"/>
      <c r="BP339" s="55"/>
    </row>
    <row r="340" spans="1:68" s="9" customFormat="1" ht="22.5">
      <c r="A340" s="25">
        <v>10907</v>
      </c>
      <c r="B340" s="58" t="s">
        <v>342</v>
      </c>
      <c r="C340" s="99" t="s">
        <v>69</v>
      </c>
      <c r="D340" s="99" t="s">
        <v>70</v>
      </c>
      <c r="E340" s="6"/>
      <c r="F340" s="6">
        <v>1</v>
      </c>
      <c r="G340" s="6"/>
      <c r="H340" s="28"/>
      <c r="I340" s="6"/>
      <c r="J340" s="6"/>
      <c r="K340" s="6"/>
      <c r="L340" s="6"/>
      <c r="M340" s="6"/>
      <c r="N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14"/>
      <c r="AE340" s="6"/>
      <c r="AF340" s="6"/>
      <c r="AG340" s="6"/>
      <c r="AH340" s="6"/>
      <c r="AI340" s="6"/>
      <c r="AJ340" s="6"/>
      <c r="AK340" s="6"/>
      <c r="AL340" s="6"/>
      <c r="AM340" s="6"/>
      <c r="AN340" s="28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33">
        <f t="shared" si="15"/>
        <v>1</v>
      </c>
      <c r="BN340" s="33" t="s">
        <v>38</v>
      </c>
      <c r="BO340" s="33"/>
      <c r="BP340" s="55"/>
    </row>
    <row r="341" spans="1:68" s="9" customFormat="1" ht="11.25">
      <c r="A341" s="25" t="str">
        <f>"03399"</f>
        <v>03399</v>
      </c>
      <c r="B341" s="58" t="s">
        <v>343</v>
      </c>
      <c r="C341" s="99" t="s">
        <v>19</v>
      </c>
      <c r="D341" s="99" t="s">
        <v>20</v>
      </c>
      <c r="E341" s="6"/>
      <c r="F341" s="6">
        <v>2</v>
      </c>
      <c r="G341" s="6"/>
      <c r="H341" s="28"/>
      <c r="I341" s="6"/>
      <c r="J341" s="6"/>
      <c r="K341" s="6"/>
      <c r="L341" s="6"/>
      <c r="M341" s="6"/>
      <c r="N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>
        <v>1</v>
      </c>
      <c r="AA341" s="6"/>
      <c r="AB341" s="6"/>
      <c r="AC341" s="6"/>
      <c r="AD341" s="14"/>
      <c r="AE341" s="6"/>
      <c r="AF341" s="6"/>
      <c r="AG341" s="6"/>
      <c r="AH341" s="6"/>
      <c r="AI341" s="6"/>
      <c r="AJ341" s="6"/>
      <c r="AK341" s="6"/>
      <c r="AL341" s="6"/>
      <c r="AM341" s="6"/>
      <c r="AN341" s="28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33">
        <f t="shared" si="15"/>
        <v>3</v>
      </c>
      <c r="BN341" s="33" t="s">
        <v>48</v>
      </c>
      <c r="BO341" s="33"/>
      <c r="BP341" s="55"/>
    </row>
    <row r="342" spans="1:68" s="9" customFormat="1" ht="11.25">
      <c r="A342" s="25" t="str">
        <f>"07739"</f>
        <v>07739</v>
      </c>
      <c r="B342" s="58" t="s">
        <v>344</v>
      </c>
      <c r="C342" s="99" t="str">
        <f>"RAGASZTÓ SZALAG (KÉTOLDALÚ)"</f>
        <v>RAGASZTÓ SZALAG (KÉTOLDALÚ)</v>
      </c>
      <c r="D342" s="99" t="str">
        <f>"19X5M."</f>
        <v>19X5M.</v>
      </c>
      <c r="E342" s="6"/>
      <c r="F342" s="6"/>
      <c r="G342" s="6"/>
      <c r="H342" s="28"/>
      <c r="I342" s="6"/>
      <c r="J342" s="6">
        <v>3</v>
      </c>
      <c r="K342" s="6"/>
      <c r="L342" s="6"/>
      <c r="M342" s="6"/>
      <c r="N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14"/>
      <c r="AE342" s="6"/>
      <c r="AF342" s="6"/>
      <c r="AG342" s="6"/>
      <c r="AH342" s="6"/>
      <c r="AI342" s="6"/>
      <c r="AJ342" s="6"/>
      <c r="AK342" s="6"/>
      <c r="AL342" s="6"/>
      <c r="AM342" s="6"/>
      <c r="AN342" s="28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33">
        <f t="shared" si="15"/>
        <v>3</v>
      </c>
      <c r="BN342" s="33" t="s">
        <v>48</v>
      </c>
      <c r="BO342" s="33"/>
      <c r="BP342" s="55"/>
    </row>
    <row r="343" spans="1:68" s="9" customFormat="1" ht="22.5" hidden="1">
      <c r="A343" s="25" t="str">
        <f aca="true" t="shared" si="16" ref="A343:A348">"07625"</f>
        <v>07625</v>
      </c>
      <c r="B343" s="58"/>
      <c r="C343" s="99" t="s">
        <v>33</v>
      </c>
      <c r="D343" s="99" t="str">
        <f>"127X075 MM"</f>
        <v>127X075 MM</v>
      </c>
      <c r="E343" s="6"/>
      <c r="F343" s="6"/>
      <c r="G343" s="6"/>
      <c r="H343" s="28"/>
      <c r="I343" s="6"/>
      <c r="J343" s="6"/>
      <c r="K343" s="6"/>
      <c r="L343" s="6"/>
      <c r="M343" s="6"/>
      <c r="N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14"/>
      <c r="AE343" s="6"/>
      <c r="AF343" s="6"/>
      <c r="AG343" s="6"/>
      <c r="AH343" s="6"/>
      <c r="AI343" s="6"/>
      <c r="AJ343" s="6"/>
      <c r="AK343" s="6"/>
      <c r="AL343" s="6"/>
      <c r="AM343" s="6"/>
      <c r="AN343" s="28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33">
        <f t="shared" si="15"/>
        <v>0</v>
      </c>
      <c r="BN343" s="33" t="s">
        <v>38</v>
      </c>
      <c r="BO343" s="33"/>
      <c r="BP343" s="55"/>
    </row>
    <row r="344" spans="1:68" s="9" customFormat="1" ht="11.25" hidden="1">
      <c r="A344" s="25" t="str">
        <f t="shared" si="16"/>
        <v>07625</v>
      </c>
      <c r="B344" s="58"/>
      <c r="C344" s="99" t="str">
        <f>"TÉPŐTÖMB (SZÍNES-CSAVART)"</f>
        <v>TÉPŐTÖMB (SZÍNES-CSAVART)</v>
      </c>
      <c r="D344" s="99" t="str">
        <f>"010X010 MM"</f>
        <v>010X010 MM</v>
      </c>
      <c r="E344" s="6"/>
      <c r="F344" s="6"/>
      <c r="G344" s="6"/>
      <c r="H344" s="28"/>
      <c r="I344" s="6"/>
      <c r="J344" s="6"/>
      <c r="K344" s="6"/>
      <c r="L344" s="6"/>
      <c r="M344" s="6"/>
      <c r="N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14"/>
      <c r="AE344" s="6"/>
      <c r="AF344" s="6"/>
      <c r="AG344" s="6"/>
      <c r="AH344" s="6"/>
      <c r="AI344" s="6"/>
      <c r="AJ344" s="6"/>
      <c r="AK344" s="6"/>
      <c r="AL344" s="6"/>
      <c r="AM344" s="6"/>
      <c r="AN344" s="28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33">
        <f t="shared" si="15"/>
        <v>0</v>
      </c>
      <c r="BN344" s="33" t="s">
        <v>38</v>
      </c>
      <c r="BO344" s="33"/>
      <c r="BP344" s="55"/>
    </row>
    <row r="345" spans="1:69" s="9" customFormat="1" ht="11.25" hidden="1">
      <c r="A345" s="25" t="str">
        <f t="shared" si="16"/>
        <v>07625</v>
      </c>
      <c r="B345" s="58"/>
      <c r="C345" s="99" t="str">
        <f>"TÉRKÉPTŰ"</f>
        <v>TÉRKÉPTŰ</v>
      </c>
      <c r="D345" s="99" t="str">
        <f>"SAKOTA"</f>
        <v>SAKOTA</v>
      </c>
      <c r="E345" s="6"/>
      <c r="F345" s="6"/>
      <c r="G345" s="6"/>
      <c r="H345" s="28"/>
      <c r="I345" s="6"/>
      <c r="J345" s="6"/>
      <c r="K345" s="6"/>
      <c r="L345" s="6"/>
      <c r="M345" s="6"/>
      <c r="N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14"/>
      <c r="AE345" s="6"/>
      <c r="AF345" s="6"/>
      <c r="AG345" s="6"/>
      <c r="AH345" s="6"/>
      <c r="AI345" s="6"/>
      <c r="AJ345" s="6"/>
      <c r="AK345" s="6"/>
      <c r="AL345" s="6"/>
      <c r="AM345" s="6"/>
      <c r="AN345" s="28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33">
        <f t="shared" si="15"/>
        <v>0</v>
      </c>
      <c r="BN345" s="33" t="s">
        <v>38</v>
      </c>
      <c r="BO345" s="33"/>
      <c r="BP345" s="55"/>
      <c r="BQ345" s="10"/>
    </row>
    <row r="346" spans="1:68" s="10" customFormat="1" ht="11.25" hidden="1">
      <c r="A346" s="25" t="str">
        <f t="shared" si="16"/>
        <v>07625</v>
      </c>
      <c r="B346" s="58"/>
      <c r="C346" s="99" t="str">
        <f>"TÖLTŐTOLL PATRON"</f>
        <v>TÖLTŐTOLL PATRON</v>
      </c>
      <c r="D346" s="99" t="str">
        <f>"PAX"</f>
        <v>PAX</v>
      </c>
      <c r="E346" s="5"/>
      <c r="F346" s="5"/>
      <c r="G346" s="5"/>
      <c r="H346" s="28"/>
      <c r="I346" s="5"/>
      <c r="J346" s="5"/>
      <c r="K346" s="5"/>
      <c r="L346" s="5"/>
      <c r="M346" s="5"/>
      <c r="N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13"/>
      <c r="AE346" s="5"/>
      <c r="AF346" s="5"/>
      <c r="AG346" s="5"/>
      <c r="AH346" s="5"/>
      <c r="AI346" s="5"/>
      <c r="AJ346" s="5"/>
      <c r="AK346" s="5"/>
      <c r="AL346" s="5"/>
      <c r="AM346" s="5"/>
      <c r="AN346" s="28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33">
        <f t="shared" si="15"/>
        <v>0</v>
      </c>
      <c r="BN346" s="33" t="s">
        <v>38</v>
      </c>
      <c r="BO346" s="28"/>
      <c r="BP346" s="58"/>
    </row>
    <row r="347" spans="1:69" s="10" customFormat="1" ht="11.25" hidden="1">
      <c r="A347" s="25" t="str">
        <f t="shared" si="16"/>
        <v>07625</v>
      </c>
      <c r="B347" s="58"/>
      <c r="C347" s="99" t="str">
        <f>"TUSTINTA (ROTRING)"</f>
        <v>TUSTINTA (ROTRING)</v>
      </c>
      <c r="D347" s="99"/>
      <c r="E347" s="5"/>
      <c r="F347" s="5"/>
      <c r="G347" s="5"/>
      <c r="H347" s="28"/>
      <c r="I347" s="5"/>
      <c r="J347" s="5"/>
      <c r="K347" s="5"/>
      <c r="L347" s="5"/>
      <c r="M347" s="5"/>
      <c r="N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13"/>
      <c r="AE347" s="5"/>
      <c r="AF347" s="5"/>
      <c r="AG347" s="5"/>
      <c r="AH347" s="5"/>
      <c r="AI347" s="5"/>
      <c r="AJ347" s="5"/>
      <c r="AK347" s="5"/>
      <c r="AL347" s="5"/>
      <c r="AM347" s="5"/>
      <c r="AN347" s="28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33">
        <f t="shared" si="15"/>
        <v>0</v>
      </c>
      <c r="BN347" s="33" t="s">
        <v>38</v>
      </c>
      <c r="BO347" s="28"/>
      <c r="BP347" s="58"/>
      <c r="BQ347" s="9"/>
    </row>
    <row r="348" spans="1:68" s="9" customFormat="1" ht="11.25" hidden="1">
      <c r="A348" s="25" t="str">
        <f t="shared" si="16"/>
        <v>07625</v>
      </c>
      <c r="B348" s="58"/>
      <c r="C348" s="99" t="s">
        <v>34</v>
      </c>
      <c r="D348" s="99" t="str">
        <f>"DELI NO. 0327"</f>
        <v>DELI NO. 0327</v>
      </c>
      <c r="E348" s="6"/>
      <c r="F348" s="6"/>
      <c r="G348" s="6"/>
      <c r="H348" s="28"/>
      <c r="I348" s="6"/>
      <c r="J348" s="6"/>
      <c r="K348" s="6"/>
      <c r="L348" s="6"/>
      <c r="M348" s="6"/>
      <c r="N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14"/>
      <c r="AE348" s="6"/>
      <c r="AF348" s="6"/>
      <c r="AG348" s="6"/>
      <c r="AH348" s="6"/>
      <c r="AI348" s="6"/>
      <c r="AJ348" s="6"/>
      <c r="AK348" s="6"/>
      <c r="AL348" s="6"/>
      <c r="AM348" s="6"/>
      <c r="AN348" s="28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33">
        <f t="shared" si="15"/>
        <v>0</v>
      </c>
      <c r="BN348" s="33" t="s">
        <v>38</v>
      </c>
      <c r="BO348" s="33"/>
      <c r="BP348" s="55"/>
    </row>
    <row r="349" spans="1:69" s="9" customFormat="1" ht="11.25">
      <c r="A349" s="25" t="str">
        <f>"07764"</f>
        <v>07764</v>
      </c>
      <c r="B349" s="58" t="s">
        <v>345</v>
      </c>
      <c r="C349" s="99" t="s">
        <v>51</v>
      </c>
      <c r="D349" s="99" t="s">
        <v>31</v>
      </c>
      <c r="E349" s="6">
        <v>1</v>
      </c>
      <c r="F349" s="6">
        <v>2</v>
      </c>
      <c r="G349" s="6"/>
      <c r="H349" s="28"/>
      <c r="I349" s="6"/>
      <c r="J349" s="6">
        <v>1</v>
      </c>
      <c r="K349" s="6"/>
      <c r="L349" s="6"/>
      <c r="M349" s="6"/>
      <c r="N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14"/>
      <c r="AE349" s="6"/>
      <c r="AF349" s="6"/>
      <c r="AG349" s="6"/>
      <c r="AH349" s="6"/>
      <c r="AI349" s="6"/>
      <c r="AJ349" s="6"/>
      <c r="AK349" s="6"/>
      <c r="AL349" s="6"/>
      <c r="AM349" s="6"/>
      <c r="AN349" s="28"/>
      <c r="AO349" s="6"/>
      <c r="AP349" s="6"/>
      <c r="AQ349" s="6"/>
      <c r="AR349" s="6"/>
      <c r="AS349" s="6">
        <v>1</v>
      </c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>
        <v>1</v>
      </c>
      <c r="BJ349" s="6"/>
      <c r="BK349" s="6"/>
      <c r="BL349" s="6"/>
      <c r="BM349" s="33">
        <f t="shared" si="15"/>
        <v>6</v>
      </c>
      <c r="BN349" s="33" t="s">
        <v>45</v>
      </c>
      <c r="BO349" s="33"/>
      <c r="BP349" s="55"/>
      <c r="BQ349" s="10"/>
    </row>
    <row r="350" spans="1:68" s="9" customFormat="1" ht="11.25" hidden="1">
      <c r="A350" s="25" t="str">
        <f>"14543"</f>
        <v>14543</v>
      </c>
      <c r="B350" s="58"/>
      <c r="C350" s="99" t="s">
        <v>34</v>
      </c>
      <c r="D350" s="99" t="str">
        <f>"MAPED VIVO"</f>
        <v>MAPED VIVO</v>
      </c>
      <c r="E350" s="6"/>
      <c r="F350" s="6"/>
      <c r="G350" s="6"/>
      <c r="H350" s="28"/>
      <c r="I350" s="6"/>
      <c r="J350" s="6"/>
      <c r="K350" s="6"/>
      <c r="L350" s="6"/>
      <c r="M350" s="6"/>
      <c r="N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14"/>
      <c r="AE350" s="6"/>
      <c r="AF350" s="6"/>
      <c r="AG350" s="6"/>
      <c r="AH350" s="6"/>
      <c r="AI350" s="6"/>
      <c r="AJ350" s="6"/>
      <c r="AK350" s="6"/>
      <c r="AL350" s="6"/>
      <c r="AM350" s="6"/>
      <c r="AN350" s="28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33">
        <f t="shared" si="15"/>
        <v>0</v>
      </c>
      <c r="BN350" s="33"/>
      <c r="BO350" s="33"/>
      <c r="BP350" s="55"/>
    </row>
    <row r="351" spans="1:68" s="9" customFormat="1" ht="11.25" hidden="1">
      <c r="A351" s="25" t="str">
        <f>"08925"</f>
        <v>08925</v>
      </c>
      <c r="B351" s="58"/>
      <c r="C351" s="99" t="s">
        <v>34</v>
      </c>
      <c r="D351" s="99" t="str">
        <f>"REXEL ACCO"</f>
        <v>REXEL ACCO</v>
      </c>
      <c r="E351" s="6"/>
      <c r="F351" s="6"/>
      <c r="G351" s="6"/>
      <c r="H351" s="28"/>
      <c r="I351" s="6"/>
      <c r="J351" s="6"/>
      <c r="K351" s="6"/>
      <c r="L351" s="6"/>
      <c r="M351" s="6"/>
      <c r="N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14"/>
      <c r="AE351" s="6"/>
      <c r="AF351" s="6"/>
      <c r="AG351" s="6"/>
      <c r="AH351" s="6"/>
      <c r="AI351" s="6"/>
      <c r="AJ351" s="6"/>
      <c r="AK351" s="6"/>
      <c r="AL351" s="6"/>
      <c r="AM351" s="6"/>
      <c r="AN351" s="28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33">
        <f t="shared" si="15"/>
        <v>0</v>
      </c>
      <c r="BN351" s="33"/>
      <c r="BO351" s="33"/>
      <c r="BP351" s="55"/>
    </row>
    <row r="352" spans="1:68" s="9" customFormat="1" ht="11.25" hidden="1">
      <c r="A352" s="25" t="str">
        <f>"08549"</f>
        <v>08549</v>
      </c>
      <c r="B352" s="58"/>
      <c r="C352" s="99" t="s">
        <v>34</v>
      </c>
      <c r="D352" s="99" t="str">
        <f>"TRAPER"</f>
        <v>TRAPER</v>
      </c>
      <c r="E352" s="6"/>
      <c r="F352" s="6"/>
      <c r="G352" s="6"/>
      <c r="H352" s="28"/>
      <c r="I352" s="6"/>
      <c r="J352" s="6"/>
      <c r="K352" s="6"/>
      <c r="L352" s="6"/>
      <c r="M352" s="6"/>
      <c r="N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14"/>
      <c r="AE352" s="6"/>
      <c r="AF352" s="6"/>
      <c r="AG352" s="6"/>
      <c r="AH352" s="6"/>
      <c r="AI352" s="6"/>
      <c r="AJ352" s="6"/>
      <c r="AK352" s="6"/>
      <c r="AL352" s="6"/>
      <c r="AM352" s="6"/>
      <c r="AN352" s="28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33">
        <f t="shared" si="15"/>
        <v>0</v>
      </c>
      <c r="BN352" s="33"/>
      <c r="BO352" s="33"/>
      <c r="BP352" s="55"/>
    </row>
    <row r="353" spans="1:68" s="9" customFormat="1" ht="11.25" hidden="1">
      <c r="A353" s="25" t="str">
        <f>"11633"</f>
        <v>11633</v>
      </c>
      <c r="B353" s="58"/>
      <c r="C353" s="99" t="s">
        <v>34</v>
      </c>
      <c r="D353" s="99" t="s">
        <v>35</v>
      </c>
      <c r="E353" s="6"/>
      <c r="F353" s="6"/>
      <c r="G353" s="6"/>
      <c r="H353" s="28"/>
      <c r="I353" s="6"/>
      <c r="J353" s="6"/>
      <c r="K353" s="6"/>
      <c r="L353" s="6"/>
      <c r="M353" s="6"/>
      <c r="N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14"/>
      <c r="AE353" s="6"/>
      <c r="AF353" s="6"/>
      <c r="AG353" s="6"/>
      <c r="AH353" s="6"/>
      <c r="AI353" s="6"/>
      <c r="AJ353" s="6"/>
      <c r="AK353" s="6"/>
      <c r="AL353" s="6"/>
      <c r="AM353" s="6"/>
      <c r="AN353" s="28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33">
        <f t="shared" si="15"/>
        <v>0</v>
      </c>
      <c r="BN353" s="33"/>
      <c r="BO353" s="33"/>
      <c r="BP353" s="55"/>
    </row>
    <row r="354" spans="1:68" s="9" customFormat="1" ht="11.25" hidden="1">
      <c r="A354" s="25" t="str">
        <f>"09410"</f>
        <v>09410</v>
      </c>
      <c r="B354" s="58"/>
      <c r="C354" s="99" t="s">
        <v>36</v>
      </c>
      <c r="D354" s="99" t="s">
        <v>14</v>
      </c>
      <c r="E354" s="6"/>
      <c r="F354" s="6"/>
      <c r="G354" s="6"/>
      <c r="H354" s="28"/>
      <c r="I354" s="6"/>
      <c r="J354" s="6"/>
      <c r="K354" s="6"/>
      <c r="L354" s="6"/>
      <c r="M354" s="6"/>
      <c r="N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14"/>
      <c r="AE354" s="6"/>
      <c r="AF354" s="6"/>
      <c r="AG354" s="6"/>
      <c r="AH354" s="6"/>
      <c r="AI354" s="6"/>
      <c r="AJ354" s="6"/>
      <c r="AK354" s="6"/>
      <c r="AL354" s="6"/>
      <c r="AM354" s="6"/>
      <c r="AN354" s="28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33">
        <f t="shared" si="15"/>
        <v>0</v>
      </c>
      <c r="BN354" s="33"/>
      <c r="BO354" s="33"/>
      <c r="BP354" s="55"/>
    </row>
    <row r="355" spans="1:68" s="10" customFormat="1" ht="22.5">
      <c r="A355" s="25" t="str">
        <f>"07493"</f>
        <v>07493</v>
      </c>
      <c r="B355" s="58" t="s">
        <v>346</v>
      </c>
      <c r="C355" s="99" t="s">
        <v>62</v>
      </c>
      <c r="D355" s="99" t="s">
        <v>102</v>
      </c>
      <c r="E355" s="5"/>
      <c r="F355" s="5"/>
      <c r="G355" s="5">
        <v>5</v>
      </c>
      <c r="H355" s="28"/>
      <c r="I355" s="5"/>
      <c r="J355" s="5"/>
      <c r="K355" s="5"/>
      <c r="L355" s="5"/>
      <c r="M355" s="5"/>
      <c r="N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13"/>
      <c r="AE355" s="5"/>
      <c r="AF355" s="5"/>
      <c r="AG355" s="5"/>
      <c r="AH355" s="5"/>
      <c r="AI355" s="5"/>
      <c r="AJ355" s="5"/>
      <c r="AK355" s="5"/>
      <c r="AL355" s="5"/>
      <c r="AM355" s="5"/>
      <c r="AN355" s="28"/>
      <c r="AO355" s="5"/>
      <c r="AP355" s="5"/>
      <c r="AQ355" s="5"/>
      <c r="AR355" s="5"/>
      <c r="AS355" s="5"/>
      <c r="AT355" s="5"/>
      <c r="AU355" s="5"/>
      <c r="AV355" s="5"/>
      <c r="AW355" s="5"/>
      <c r="AX355" s="5">
        <v>1</v>
      </c>
      <c r="AY355" s="5">
        <v>1</v>
      </c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33">
        <f t="shared" si="15"/>
        <v>7</v>
      </c>
      <c r="BN355" s="33" t="s">
        <v>38</v>
      </c>
      <c r="BO355" s="28"/>
      <c r="BP355" s="58"/>
    </row>
    <row r="356" spans="1:68" s="9" customFormat="1" ht="11.25" hidden="1">
      <c r="A356" s="25" t="str">
        <f>"12356"</f>
        <v>12356</v>
      </c>
      <c r="B356" s="58"/>
      <c r="C356" s="99" t="s">
        <v>43</v>
      </c>
      <c r="D356" s="99" t="str">
        <f>"23/8"</f>
        <v>23/8</v>
      </c>
      <c r="E356" s="6"/>
      <c r="F356" s="6"/>
      <c r="G356" s="6"/>
      <c r="H356" s="28"/>
      <c r="I356" s="6"/>
      <c r="J356" s="6"/>
      <c r="K356" s="6"/>
      <c r="L356" s="6"/>
      <c r="M356" s="6"/>
      <c r="N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14"/>
      <c r="AE356" s="6"/>
      <c r="AF356" s="6"/>
      <c r="AG356" s="6"/>
      <c r="AH356" s="6"/>
      <c r="AI356" s="6"/>
      <c r="AJ356" s="6"/>
      <c r="AK356" s="6"/>
      <c r="AL356" s="6"/>
      <c r="AM356" s="6"/>
      <c r="AN356" s="28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33">
        <f t="shared" si="15"/>
        <v>0</v>
      </c>
      <c r="BN356" s="33"/>
      <c r="BO356" s="33"/>
      <c r="BP356" s="55"/>
    </row>
    <row r="357" spans="1:68" s="9" customFormat="1" ht="11.25" hidden="1">
      <c r="A357" s="25" t="str">
        <f>"12374"</f>
        <v>12374</v>
      </c>
      <c r="B357" s="58"/>
      <c r="C357" s="99" t="s">
        <v>43</v>
      </c>
      <c r="D357" s="99" t="str">
        <f>"23/13"</f>
        <v>23/13</v>
      </c>
      <c r="E357" s="6"/>
      <c r="F357" s="6"/>
      <c r="G357" s="6"/>
      <c r="H357" s="28"/>
      <c r="I357" s="6"/>
      <c r="J357" s="6"/>
      <c r="K357" s="6"/>
      <c r="L357" s="6"/>
      <c r="M357" s="6"/>
      <c r="N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14"/>
      <c r="AE357" s="6"/>
      <c r="AF357" s="6"/>
      <c r="AG357" s="6"/>
      <c r="AH357" s="6"/>
      <c r="AI357" s="6"/>
      <c r="AJ357" s="6"/>
      <c r="AK357" s="6"/>
      <c r="AL357" s="6"/>
      <c r="AM357" s="6"/>
      <c r="AN357" s="28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33">
        <f t="shared" si="15"/>
        <v>0</v>
      </c>
      <c r="BN357" s="33"/>
      <c r="BO357" s="33"/>
      <c r="BP357" s="55"/>
    </row>
    <row r="358" spans="1:69" s="9" customFormat="1" ht="11.25" hidden="1">
      <c r="A358" s="25" t="str">
        <f>"11634"</f>
        <v>11634</v>
      </c>
      <c r="B358" s="58"/>
      <c r="C358" s="99" t="s">
        <v>43</v>
      </c>
      <c r="D358" s="102">
        <v>14</v>
      </c>
      <c r="E358" s="6"/>
      <c r="F358" s="6"/>
      <c r="G358" s="6"/>
      <c r="H358" s="28"/>
      <c r="I358" s="6"/>
      <c r="J358" s="6"/>
      <c r="K358" s="6"/>
      <c r="L358" s="6"/>
      <c r="M358" s="6"/>
      <c r="N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14"/>
      <c r="AE358" s="6"/>
      <c r="AF358" s="6"/>
      <c r="AG358" s="6"/>
      <c r="AH358" s="6"/>
      <c r="AI358" s="6"/>
      <c r="AJ358" s="6"/>
      <c r="AK358" s="6"/>
      <c r="AL358" s="6"/>
      <c r="AM358" s="6"/>
      <c r="AN358" s="28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33">
        <f t="shared" si="15"/>
        <v>0</v>
      </c>
      <c r="BN358" s="33"/>
      <c r="BO358" s="33"/>
      <c r="BP358" s="55"/>
      <c r="BQ358" s="10"/>
    </row>
    <row r="359" spans="1:68" s="10" customFormat="1" ht="11.25" hidden="1">
      <c r="A359" s="25" t="str">
        <f>"08077"</f>
        <v>08077</v>
      </c>
      <c r="B359" s="58"/>
      <c r="C359" s="99" t="s">
        <v>43</v>
      </c>
      <c r="D359" s="99"/>
      <c r="E359" s="5"/>
      <c r="F359" s="5"/>
      <c r="G359" s="5"/>
      <c r="H359" s="28"/>
      <c r="I359" s="5"/>
      <c r="J359" s="5"/>
      <c r="K359" s="5"/>
      <c r="L359" s="5"/>
      <c r="M359" s="5"/>
      <c r="N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13"/>
      <c r="AE359" s="5"/>
      <c r="AF359" s="5"/>
      <c r="AG359" s="5"/>
      <c r="AH359" s="5"/>
      <c r="AI359" s="5"/>
      <c r="AJ359" s="5"/>
      <c r="AK359" s="5"/>
      <c r="AL359" s="5"/>
      <c r="AM359" s="5"/>
      <c r="AN359" s="28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33">
        <f t="shared" si="15"/>
        <v>0</v>
      </c>
      <c r="BN359" s="33"/>
      <c r="BO359" s="28"/>
      <c r="BP359" s="58"/>
    </row>
    <row r="360" spans="1:68" s="10" customFormat="1" ht="11.25" hidden="1">
      <c r="A360" s="25" t="str">
        <f>"08560"</f>
        <v>08560</v>
      </c>
      <c r="B360" s="58"/>
      <c r="C360" s="99" t="s">
        <v>43</v>
      </c>
      <c r="D360" s="99"/>
      <c r="E360" s="5"/>
      <c r="F360" s="5"/>
      <c r="G360" s="5"/>
      <c r="H360" s="28"/>
      <c r="I360" s="5"/>
      <c r="J360" s="5"/>
      <c r="K360" s="5"/>
      <c r="L360" s="5"/>
      <c r="M360" s="5"/>
      <c r="N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13"/>
      <c r="AE360" s="5"/>
      <c r="AF360" s="5"/>
      <c r="AG360" s="5"/>
      <c r="AH360" s="5"/>
      <c r="AI360" s="5"/>
      <c r="AJ360" s="5"/>
      <c r="AK360" s="5"/>
      <c r="AL360" s="5"/>
      <c r="AM360" s="5"/>
      <c r="AN360" s="28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33">
        <f t="shared" si="15"/>
        <v>0</v>
      </c>
      <c r="BN360" s="33"/>
      <c r="BO360" s="28"/>
      <c r="BP360" s="58"/>
    </row>
    <row r="361" spans="1:68" s="10" customFormat="1" ht="11.25" hidden="1">
      <c r="A361" s="25" t="str">
        <f>"09961"</f>
        <v>09961</v>
      </c>
      <c r="B361" s="58"/>
      <c r="C361" s="99" t="s">
        <v>43</v>
      </c>
      <c r="D361" s="99"/>
      <c r="E361" s="5"/>
      <c r="F361" s="5"/>
      <c r="G361" s="5"/>
      <c r="H361" s="28"/>
      <c r="I361" s="5"/>
      <c r="J361" s="5"/>
      <c r="K361" s="5"/>
      <c r="L361" s="5"/>
      <c r="M361" s="5"/>
      <c r="N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13"/>
      <c r="AE361" s="5"/>
      <c r="AF361" s="5"/>
      <c r="AG361" s="5"/>
      <c r="AH361" s="5"/>
      <c r="AI361" s="5"/>
      <c r="AJ361" s="5"/>
      <c r="AK361" s="5"/>
      <c r="AL361" s="5"/>
      <c r="AM361" s="5"/>
      <c r="AN361" s="28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33">
        <f t="shared" si="15"/>
        <v>0</v>
      </c>
      <c r="BN361" s="33"/>
      <c r="BO361" s="28"/>
      <c r="BP361" s="58"/>
    </row>
    <row r="362" spans="1:68" s="10" customFormat="1" ht="11.25" hidden="1">
      <c r="A362" s="25" t="str">
        <f>"09569"</f>
        <v>09569</v>
      </c>
      <c r="B362" s="58"/>
      <c r="C362" s="99" t="s">
        <v>43</v>
      </c>
      <c r="D362" s="99" t="str">
        <f>"A/4 25X4"</f>
        <v>A/4 25X4</v>
      </c>
      <c r="E362" s="5"/>
      <c r="F362" s="5"/>
      <c r="G362" s="5"/>
      <c r="H362" s="28"/>
      <c r="I362" s="5"/>
      <c r="J362" s="5"/>
      <c r="K362" s="5"/>
      <c r="L362" s="5"/>
      <c r="M362" s="5"/>
      <c r="N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13"/>
      <c r="AE362" s="5"/>
      <c r="AF362" s="5"/>
      <c r="AG362" s="5"/>
      <c r="AH362" s="5"/>
      <c r="AI362" s="5"/>
      <c r="AJ362" s="5"/>
      <c r="AK362" s="5"/>
      <c r="AL362" s="5"/>
      <c r="AM362" s="5"/>
      <c r="AN362" s="28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33">
        <f t="shared" si="15"/>
        <v>0</v>
      </c>
      <c r="BN362" s="33"/>
      <c r="BO362" s="28"/>
      <c r="BP362" s="58"/>
    </row>
    <row r="363" spans="1:68" s="10" customFormat="1" ht="11.25" hidden="1">
      <c r="A363" s="25" t="str">
        <f>"10948"</f>
        <v>10948</v>
      </c>
      <c r="B363" s="58"/>
      <c r="C363" s="99" t="s">
        <v>43</v>
      </c>
      <c r="D363" s="99" t="str">
        <f>"25X2 V.VÁLL 71/V"</f>
        <v>25X2 V.VÁLL 71/V</v>
      </c>
      <c r="E363" s="5"/>
      <c r="F363" s="5"/>
      <c r="G363" s="5"/>
      <c r="H363" s="28"/>
      <c r="I363" s="5"/>
      <c r="J363" s="5"/>
      <c r="K363" s="5"/>
      <c r="L363" s="5"/>
      <c r="M363" s="5"/>
      <c r="N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13"/>
      <c r="AE363" s="5"/>
      <c r="AF363" s="5"/>
      <c r="AG363" s="5"/>
      <c r="AH363" s="5"/>
      <c r="AI363" s="5"/>
      <c r="AJ363" s="5"/>
      <c r="AK363" s="5"/>
      <c r="AL363" s="5"/>
      <c r="AM363" s="5"/>
      <c r="AN363" s="28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33">
        <f t="shared" si="15"/>
        <v>0</v>
      </c>
      <c r="BN363" s="33"/>
      <c r="BO363" s="28"/>
      <c r="BP363" s="58"/>
    </row>
    <row r="364" spans="1:68" s="10" customFormat="1" ht="11.25" hidden="1">
      <c r="A364" s="25" t="str">
        <f>"07858"</f>
        <v>07858</v>
      </c>
      <c r="B364" s="58"/>
      <c r="C364" s="99" t="s">
        <v>43</v>
      </c>
      <c r="D364" s="99" t="str">
        <f>"PÁTRIA (C.3337-11)"</f>
        <v>PÁTRIA (C.3337-11)</v>
      </c>
      <c r="E364" s="5"/>
      <c r="F364" s="5"/>
      <c r="G364" s="5"/>
      <c r="H364" s="28"/>
      <c r="I364" s="5"/>
      <c r="J364" s="5"/>
      <c r="K364" s="5"/>
      <c r="L364" s="5"/>
      <c r="M364" s="5"/>
      <c r="N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13"/>
      <c r="AE364" s="5"/>
      <c r="AF364" s="5"/>
      <c r="AG364" s="5"/>
      <c r="AH364" s="5"/>
      <c r="AI364" s="5"/>
      <c r="AJ364" s="5"/>
      <c r="AK364" s="5"/>
      <c r="AL364" s="5"/>
      <c r="AM364" s="5"/>
      <c r="AN364" s="28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33">
        <f t="shared" si="15"/>
        <v>0</v>
      </c>
      <c r="BN364" s="33"/>
      <c r="BO364" s="28"/>
      <c r="BP364" s="58"/>
    </row>
    <row r="365" spans="1:68" s="10" customFormat="1" ht="11.25" hidden="1">
      <c r="A365" s="25" t="str">
        <f>"11579"</f>
        <v>11579</v>
      </c>
      <c r="B365" s="58"/>
      <c r="C365" s="99" t="s">
        <v>43</v>
      </c>
      <c r="D365" s="99"/>
      <c r="E365" s="5"/>
      <c r="F365" s="5"/>
      <c r="G365" s="5"/>
      <c r="H365" s="28"/>
      <c r="I365" s="5"/>
      <c r="J365" s="5"/>
      <c r="K365" s="5"/>
      <c r="L365" s="5"/>
      <c r="M365" s="5"/>
      <c r="N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13"/>
      <c r="AE365" s="5"/>
      <c r="AF365" s="5"/>
      <c r="AG365" s="5"/>
      <c r="AH365" s="5"/>
      <c r="AI365" s="5"/>
      <c r="AJ365" s="5"/>
      <c r="AK365" s="5"/>
      <c r="AL365" s="5"/>
      <c r="AM365" s="5"/>
      <c r="AN365" s="28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33">
        <f t="shared" si="15"/>
        <v>0</v>
      </c>
      <c r="BN365" s="33"/>
      <c r="BO365" s="28"/>
      <c r="BP365" s="58"/>
    </row>
    <row r="366" spans="1:68" s="10" customFormat="1" ht="11.25" hidden="1">
      <c r="A366" s="25" t="str">
        <f>"13756"</f>
        <v>13756</v>
      </c>
      <c r="B366" s="58"/>
      <c r="C366" s="99" t="s">
        <v>43</v>
      </c>
      <c r="D366" s="99" t="str">
        <f>"A/4"</f>
        <v>A/4</v>
      </c>
      <c r="E366" s="5"/>
      <c r="F366" s="5"/>
      <c r="G366" s="5"/>
      <c r="H366" s="28"/>
      <c r="I366" s="5"/>
      <c r="J366" s="5"/>
      <c r="K366" s="5"/>
      <c r="L366" s="5"/>
      <c r="M366" s="5"/>
      <c r="N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13"/>
      <c r="AE366" s="5"/>
      <c r="AF366" s="5"/>
      <c r="AG366" s="5"/>
      <c r="AH366" s="5"/>
      <c r="AI366" s="5"/>
      <c r="AJ366" s="5"/>
      <c r="AK366" s="5"/>
      <c r="AL366" s="5"/>
      <c r="AM366" s="5"/>
      <c r="AN366" s="28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33">
        <f t="shared" si="15"/>
        <v>0</v>
      </c>
      <c r="BN366" s="33"/>
      <c r="BO366" s="28"/>
      <c r="BP366" s="58"/>
    </row>
    <row r="367" spans="1:68" s="10" customFormat="1" ht="11.25" hidden="1">
      <c r="A367" s="25" t="str">
        <f>"10192"</f>
        <v>10192</v>
      </c>
      <c r="B367" s="58"/>
      <c r="C367" s="99" t="s">
        <v>43</v>
      </c>
      <c r="D367" s="99" t="str">
        <f>"DVV.1250/ÚJ A/5"</f>
        <v>DVV.1250/ÚJ A/5</v>
      </c>
      <c r="E367" s="5"/>
      <c r="F367" s="5"/>
      <c r="G367" s="5"/>
      <c r="H367" s="28"/>
      <c r="I367" s="5"/>
      <c r="J367" s="5"/>
      <c r="K367" s="5"/>
      <c r="L367" s="5"/>
      <c r="M367" s="5"/>
      <c r="N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13"/>
      <c r="AE367" s="5"/>
      <c r="AF367" s="5"/>
      <c r="AG367" s="5"/>
      <c r="AH367" s="5"/>
      <c r="AI367" s="5"/>
      <c r="AJ367" s="5"/>
      <c r="AK367" s="5"/>
      <c r="AL367" s="5"/>
      <c r="AM367" s="5"/>
      <c r="AN367" s="28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33">
        <f t="shared" si="15"/>
        <v>0</v>
      </c>
      <c r="BN367" s="33"/>
      <c r="BO367" s="28"/>
      <c r="BP367" s="58"/>
    </row>
    <row r="368" spans="1:68" s="10" customFormat="1" ht="11.25" hidden="1">
      <c r="A368" s="25" t="str">
        <f>"07715"</f>
        <v>07715</v>
      </c>
      <c r="B368" s="58"/>
      <c r="C368" s="99" t="s">
        <v>43</v>
      </c>
      <c r="D368" s="99" t="s">
        <v>2</v>
      </c>
      <c r="E368" s="5"/>
      <c r="F368" s="5"/>
      <c r="G368" s="5"/>
      <c r="H368" s="28"/>
      <c r="I368" s="5"/>
      <c r="J368" s="5"/>
      <c r="K368" s="5"/>
      <c r="L368" s="5"/>
      <c r="M368" s="5"/>
      <c r="N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13"/>
      <c r="AE368" s="5"/>
      <c r="AF368" s="5"/>
      <c r="AG368" s="5"/>
      <c r="AH368" s="5"/>
      <c r="AI368" s="5"/>
      <c r="AJ368" s="5"/>
      <c r="AK368" s="5"/>
      <c r="AL368" s="5"/>
      <c r="AM368" s="5"/>
      <c r="AN368" s="28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33">
        <f t="shared" si="15"/>
        <v>0</v>
      </c>
      <c r="BN368" s="33"/>
      <c r="BO368" s="28"/>
      <c r="BP368" s="58"/>
    </row>
    <row r="369" spans="1:68" s="10" customFormat="1" ht="11.25" hidden="1">
      <c r="A369" s="25" t="str">
        <f>"14135"</f>
        <v>14135</v>
      </c>
      <c r="B369" s="58"/>
      <c r="C369" s="99" t="s">
        <v>43</v>
      </c>
      <c r="D369" s="99"/>
      <c r="E369" s="5"/>
      <c r="F369" s="5"/>
      <c r="G369" s="5"/>
      <c r="H369" s="28"/>
      <c r="I369" s="5"/>
      <c r="J369" s="5"/>
      <c r="K369" s="5"/>
      <c r="L369" s="5"/>
      <c r="M369" s="5"/>
      <c r="N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13"/>
      <c r="AE369" s="5"/>
      <c r="AF369" s="5"/>
      <c r="AG369" s="5"/>
      <c r="AH369" s="5"/>
      <c r="AI369" s="5"/>
      <c r="AJ369" s="5"/>
      <c r="AK369" s="5"/>
      <c r="AL369" s="5"/>
      <c r="AM369" s="5"/>
      <c r="AN369" s="28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33">
        <f aca="true" t="shared" si="17" ref="BM369:BM401">SUM(E369:BL369)</f>
        <v>0</v>
      </c>
      <c r="BN369" s="33"/>
      <c r="BO369" s="28"/>
      <c r="BP369" s="58"/>
    </row>
    <row r="370" spans="1:68" s="10" customFormat="1" ht="22.5">
      <c r="A370" s="25" t="str">
        <f>"07493"</f>
        <v>07493</v>
      </c>
      <c r="B370" s="58" t="s">
        <v>347</v>
      </c>
      <c r="C370" s="99" t="s">
        <v>62</v>
      </c>
      <c r="D370" s="99" t="s">
        <v>101</v>
      </c>
      <c r="E370" s="5"/>
      <c r="F370" s="5"/>
      <c r="G370" s="5"/>
      <c r="H370" s="28"/>
      <c r="I370" s="5"/>
      <c r="J370" s="5"/>
      <c r="K370" s="5"/>
      <c r="L370" s="5"/>
      <c r="M370" s="5"/>
      <c r="N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13"/>
      <c r="AE370" s="5"/>
      <c r="AF370" s="5"/>
      <c r="AG370" s="5"/>
      <c r="AH370" s="5"/>
      <c r="AI370" s="5"/>
      <c r="AJ370" s="5"/>
      <c r="AK370" s="5"/>
      <c r="AL370" s="5"/>
      <c r="AM370" s="5"/>
      <c r="AN370" s="28"/>
      <c r="AO370" s="5"/>
      <c r="AP370" s="5"/>
      <c r="AQ370" s="5"/>
      <c r="AR370" s="5"/>
      <c r="AS370" s="5"/>
      <c r="AT370" s="5"/>
      <c r="AU370" s="5"/>
      <c r="AV370" s="5"/>
      <c r="AW370" s="5"/>
      <c r="AX370" s="5">
        <v>1</v>
      </c>
      <c r="AY370" s="5">
        <v>1</v>
      </c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33">
        <f t="shared" si="17"/>
        <v>2</v>
      </c>
      <c r="BN370" s="33" t="s">
        <v>38</v>
      </c>
      <c r="BO370" s="28"/>
      <c r="BP370" s="58"/>
    </row>
    <row r="371" spans="1:68" s="10" customFormat="1" ht="22.5">
      <c r="A371" s="25" t="str">
        <f>"07493"</f>
        <v>07493</v>
      </c>
      <c r="B371" s="58" t="s">
        <v>348</v>
      </c>
      <c r="C371" s="99" t="s">
        <v>62</v>
      </c>
      <c r="D371" s="99" t="s">
        <v>63</v>
      </c>
      <c r="E371" s="5"/>
      <c r="F371" s="5"/>
      <c r="G371" s="5">
        <v>5</v>
      </c>
      <c r="H371" s="28"/>
      <c r="I371" s="5"/>
      <c r="J371" s="5"/>
      <c r="K371" s="5"/>
      <c r="L371" s="5"/>
      <c r="M371" s="5"/>
      <c r="N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13"/>
      <c r="AE371" s="5"/>
      <c r="AF371" s="5"/>
      <c r="AG371" s="5"/>
      <c r="AH371" s="5"/>
      <c r="AI371" s="5"/>
      <c r="AJ371" s="5"/>
      <c r="AK371" s="5"/>
      <c r="AL371" s="5"/>
      <c r="AM371" s="5"/>
      <c r="AN371" s="28"/>
      <c r="AO371" s="5"/>
      <c r="AP371" s="5"/>
      <c r="AQ371" s="5"/>
      <c r="AR371" s="5"/>
      <c r="AS371" s="5"/>
      <c r="AT371" s="5"/>
      <c r="AU371" s="5"/>
      <c r="AV371" s="5"/>
      <c r="AW371" s="5"/>
      <c r="AX371" s="5">
        <v>1</v>
      </c>
      <c r="AY371" s="5">
        <v>1</v>
      </c>
      <c r="AZ371" s="5"/>
      <c r="BA371" s="5"/>
      <c r="BB371" s="5">
        <v>2</v>
      </c>
      <c r="BC371" s="5">
        <v>2</v>
      </c>
      <c r="BD371" s="5">
        <v>1</v>
      </c>
      <c r="BE371" s="5"/>
      <c r="BF371" s="5"/>
      <c r="BG371" s="5"/>
      <c r="BH371" s="5"/>
      <c r="BI371" s="5"/>
      <c r="BJ371" s="5"/>
      <c r="BK371" s="5"/>
      <c r="BL371" s="5"/>
      <c r="BM371" s="33">
        <f t="shared" si="17"/>
        <v>12</v>
      </c>
      <c r="BN371" s="33" t="s">
        <v>38</v>
      </c>
      <c r="BO371" s="28"/>
      <c r="BP371" s="58"/>
    </row>
    <row r="372" spans="1:68" s="10" customFormat="1" ht="22.5">
      <c r="A372" s="25" t="str">
        <f>"07493"</f>
        <v>07493</v>
      </c>
      <c r="B372" s="58" t="s">
        <v>349</v>
      </c>
      <c r="C372" s="99" t="s">
        <v>62</v>
      </c>
      <c r="D372" s="99" t="s">
        <v>211</v>
      </c>
      <c r="E372" s="5"/>
      <c r="F372" s="5"/>
      <c r="G372" s="5"/>
      <c r="H372" s="28"/>
      <c r="I372" s="5"/>
      <c r="J372" s="5"/>
      <c r="K372" s="5"/>
      <c r="L372" s="5"/>
      <c r="M372" s="5"/>
      <c r="N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13"/>
      <c r="AE372" s="5"/>
      <c r="AF372" s="5"/>
      <c r="AG372" s="5"/>
      <c r="AH372" s="5"/>
      <c r="AI372" s="5"/>
      <c r="AJ372" s="5"/>
      <c r="AK372" s="5"/>
      <c r="AL372" s="5"/>
      <c r="AM372" s="5"/>
      <c r="AN372" s="28"/>
      <c r="AO372" s="5"/>
      <c r="AP372" s="5"/>
      <c r="AQ372" s="5"/>
      <c r="AR372" s="5"/>
      <c r="AS372" s="5"/>
      <c r="AT372" s="5"/>
      <c r="AU372" s="5"/>
      <c r="AV372" s="5"/>
      <c r="AW372" s="5"/>
      <c r="AX372" s="5">
        <v>1</v>
      </c>
      <c r="AY372" s="5">
        <v>1</v>
      </c>
      <c r="AZ372" s="5"/>
      <c r="BA372" s="5">
        <v>1</v>
      </c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33">
        <f t="shared" si="17"/>
        <v>3</v>
      </c>
      <c r="BN372" s="33" t="s">
        <v>38</v>
      </c>
      <c r="BO372" s="28"/>
      <c r="BP372" s="58"/>
    </row>
    <row r="373" spans="1:68" s="9" customFormat="1" ht="11.25">
      <c r="A373" s="25" t="str">
        <f aca="true" t="shared" si="18" ref="A373:A380">"11978"</f>
        <v>11978</v>
      </c>
      <c r="B373" s="58" t="s">
        <v>350</v>
      </c>
      <c r="C373" s="99" t="s">
        <v>81</v>
      </c>
      <c r="D373" s="99" t="s">
        <v>83</v>
      </c>
      <c r="E373" s="6">
        <v>2</v>
      </c>
      <c r="F373" s="6">
        <v>1</v>
      </c>
      <c r="G373" s="6"/>
      <c r="H373" s="28"/>
      <c r="I373" s="6"/>
      <c r="J373" s="6"/>
      <c r="K373" s="6"/>
      <c r="L373" s="6"/>
      <c r="M373" s="6"/>
      <c r="N373" s="6"/>
      <c r="P373" s="6"/>
      <c r="Q373" s="6"/>
      <c r="R373" s="6"/>
      <c r="S373" s="6"/>
      <c r="T373" s="5"/>
      <c r="U373" s="5"/>
      <c r="V373" s="5"/>
      <c r="W373" s="5"/>
      <c r="X373" s="5"/>
      <c r="Y373" s="6"/>
      <c r="Z373" s="5"/>
      <c r="AA373" s="5"/>
      <c r="AB373" s="5">
        <v>1</v>
      </c>
      <c r="AC373" s="5"/>
      <c r="AD373" s="13"/>
      <c r="AE373" s="5"/>
      <c r="AF373" s="5"/>
      <c r="AG373" s="5"/>
      <c r="AH373" s="5"/>
      <c r="AI373" s="5"/>
      <c r="AJ373" s="5"/>
      <c r="AK373" s="5"/>
      <c r="AL373" s="5"/>
      <c r="AM373" s="6"/>
      <c r="AN373" s="28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33">
        <f t="shared" si="17"/>
        <v>4</v>
      </c>
      <c r="BN373" s="33" t="s">
        <v>38</v>
      </c>
      <c r="BO373" s="33"/>
      <c r="BP373" s="55"/>
    </row>
    <row r="374" spans="1:68" s="9" customFormat="1" ht="11.25">
      <c r="A374" s="25" t="str">
        <f t="shared" si="18"/>
        <v>11978</v>
      </c>
      <c r="B374" s="58" t="s">
        <v>351</v>
      </c>
      <c r="C374" s="99" t="s">
        <v>81</v>
      </c>
      <c r="D374" s="99" t="s">
        <v>85</v>
      </c>
      <c r="E374" s="6">
        <v>2</v>
      </c>
      <c r="F374" s="6">
        <v>1</v>
      </c>
      <c r="G374" s="6"/>
      <c r="H374" s="28">
        <v>1</v>
      </c>
      <c r="I374" s="6"/>
      <c r="J374" s="6"/>
      <c r="K374" s="6"/>
      <c r="L374" s="6"/>
      <c r="M374" s="6"/>
      <c r="N374" s="6"/>
      <c r="P374" s="6"/>
      <c r="Q374" s="6"/>
      <c r="R374" s="6"/>
      <c r="S374" s="6"/>
      <c r="T374" s="5"/>
      <c r="U374" s="5"/>
      <c r="V374" s="5"/>
      <c r="W374" s="5"/>
      <c r="X374" s="5"/>
      <c r="Y374" s="6"/>
      <c r="Z374" s="5"/>
      <c r="AA374" s="5">
        <v>1</v>
      </c>
      <c r="AB374" s="5"/>
      <c r="AC374" s="5"/>
      <c r="AD374" s="13"/>
      <c r="AE374" s="5"/>
      <c r="AF374" s="5"/>
      <c r="AG374" s="5"/>
      <c r="AH374" s="5"/>
      <c r="AI374" s="5"/>
      <c r="AJ374" s="5"/>
      <c r="AK374" s="5"/>
      <c r="AL374" s="5"/>
      <c r="AM374" s="6"/>
      <c r="AN374" s="28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33">
        <f t="shared" si="17"/>
        <v>5</v>
      </c>
      <c r="BN374" s="33" t="s">
        <v>38</v>
      </c>
      <c r="BO374" s="33"/>
      <c r="BP374" s="55"/>
    </row>
    <row r="375" spans="1:68" s="9" customFormat="1" ht="11.25">
      <c r="A375" s="25" t="str">
        <f t="shared" si="18"/>
        <v>11978</v>
      </c>
      <c r="B375" s="58" t="s">
        <v>352</v>
      </c>
      <c r="C375" s="99" t="s">
        <v>81</v>
      </c>
      <c r="D375" s="99" t="s">
        <v>84</v>
      </c>
      <c r="E375" s="6">
        <v>2</v>
      </c>
      <c r="F375" s="6"/>
      <c r="G375" s="6">
        <v>5</v>
      </c>
      <c r="H375" s="28"/>
      <c r="I375" s="6"/>
      <c r="J375" s="6"/>
      <c r="K375" s="6"/>
      <c r="L375" s="6"/>
      <c r="M375" s="6"/>
      <c r="N375" s="6"/>
      <c r="P375" s="6"/>
      <c r="Q375" s="6"/>
      <c r="R375" s="6"/>
      <c r="S375" s="6"/>
      <c r="T375" s="5"/>
      <c r="U375" s="5"/>
      <c r="V375" s="5"/>
      <c r="W375" s="5"/>
      <c r="X375" s="5"/>
      <c r="Y375" s="6"/>
      <c r="Z375" s="5"/>
      <c r="AA375" s="5">
        <v>1</v>
      </c>
      <c r="AB375" s="5"/>
      <c r="AC375" s="5"/>
      <c r="AD375" s="13"/>
      <c r="AE375" s="5"/>
      <c r="AF375" s="5"/>
      <c r="AG375" s="5"/>
      <c r="AH375" s="5"/>
      <c r="AI375" s="5"/>
      <c r="AJ375" s="5"/>
      <c r="AK375" s="5"/>
      <c r="AL375" s="5"/>
      <c r="AM375" s="6"/>
      <c r="AN375" s="28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>
        <v>2</v>
      </c>
      <c r="BK375" s="6"/>
      <c r="BL375" s="6"/>
      <c r="BM375" s="33">
        <f t="shared" si="17"/>
        <v>10</v>
      </c>
      <c r="BN375" s="33" t="s">
        <v>38</v>
      </c>
      <c r="BO375" s="33"/>
      <c r="BP375" s="55"/>
    </row>
    <row r="376" spans="1:68" s="9" customFormat="1" ht="11.25">
      <c r="A376" s="25" t="str">
        <f t="shared" si="18"/>
        <v>11978</v>
      </c>
      <c r="B376" s="58" t="s">
        <v>353</v>
      </c>
      <c r="C376" s="99" t="s">
        <v>81</v>
      </c>
      <c r="D376" s="99" t="s">
        <v>82</v>
      </c>
      <c r="E376" s="6">
        <v>2</v>
      </c>
      <c r="F376" s="6"/>
      <c r="G376" s="6"/>
      <c r="H376" s="28"/>
      <c r="I376" s="6"/>
      <c r="J376" s="6"/>
      <c r="K376" s="6"/>
      <c r="L376" s="6"/>
      <c r="M376" s="6"/>
      <c r="N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14"/>
      <c r="AE376" s="6"/>
      <c r="AF376" s="6"/>
      <c r="AG376" s="6"/>
      <c r="AH376" s="6"/>
      <c r="AI376" s="6"/>
      <c r="AJ376" s="6"/>
      <c r="AK376" s="6"/>
      <c r="AL376" s="6"/>
      <c r="AM376" s="6"/>
      <c r="AN376" s="28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33">
        <f t="shared" si="17"/>
        <v>2</v>
      </c>
      <c r="BN376" s="33" t="s">
        <v>38</v>
      </c>
      <c r="BO376" s="33"/>
      <c r="BP376" s="55"/>
    </row>
    <row r="377" spans="1:68" s="9" customFormat="1" ht="11.25">
      <c r="A377" s="25" t="str">
        <f t="shared" si="18"/>
        <v>11978</v>
      </c>
      <c r="B377" s="58" t="s">
        <v>354</v>
      </c>
      <c r="C377" s="99" t="s">
        <v>81</v>
      </c>
      <c r="D377" s="99" t="s">
        <v>87</v>
      </c>
      <c r="E377" s="6">
        <v>2</v>
      </c>
      <c r="F377" s="6">
        <v>1</v>
      </c>
      <c r="G377" s="6">
        <v>5</v>
      </c>
      <c r="H377" s="28"/>
      <c r="I377" s="6"/>
      <c r="J377" s="6"/>
      <c r="K377" s="6"/>
      <c r="L377" s="6"/>
      <c r="M377" s="6"/>
      <c r="N377" s="6"/>
      <c r="P377" s="6"/>
      <c r="Q377" s="6"/>
      <c r="R377" s="6"/>
      <c r="S377" s="6"/>
      <c r="T377" s="6"/>
      <c r="U377" s="6"/>
      <c r="V377" s="6"/>
      <c r="W377" s="6"/>
      <c r="X377" s="6"/>
      <c r="Y377" s="6">
        <v>1</v>
      </c>
      <c r="Z377" s="6"/>
      <c r="AA377" s="6"/>
      <c r="AB377" s="6"/>
      <c r="AC377" s="6"/>
      <c r="AD377" s="14"/>
      <c r="AE377" s="6"/>
      <c r="AF377" s="6"/>
      <c r="AG377" s="6"/>
      <c r="AH377" s="6"/>
      <c r="AI377" s="6"/>
      <c r="AJ377" s="6"/>
      <c r="AK377" s="6"/>
      <c r="AL377" s="6"/>
      <c r="AM377" s="6"/>
      <c r="AN377" s="28"/>
      <c r="AO377" s="6"/>
      <c r="AP377" s="6"/>
      <c r="AQ377" s="6"/>
      <c r="AR377" s="6"/>
      <c r="AS377" s="6">
        <v>1</v>
      </c>
      <c r="AT377" s="6"/>
      <c r="AU377" s="6"/>
      <c r="AV377" s="6"/>
      <c r="AW377" s="6">
        <v>1</v>
      </c>
      <c r="AX377" s="6">
        <v>1</v>
      </c>
      <c r="AY377" s="6">
        <v>1</v>
      </c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33">
        <f t="shared" si="17"/>
        <v>13</v>
      </c>
      <c r="BN377" s="33" t="s">
        <v>38</v>
      </c>
      <c r="BO377" s="33"/>
      <c r="BP377" s="55"/>
    </row>
    <row r="378" spans="1:68" s="9" customFormat="1" ht="11.25">
      <c r="A378" s="25" t="str">
        <f t="shared" si="18"/>
        <v>11978</v>
      </c>
      <c r="B378" s="58" t="s">
        <v>355</v>
      </c>
      <c r="C378" s="99" t="s">
        <v>81</v>
      </c>
      <c r="D378" s="99" t="s">
        <v>89</v>
      </c>
      <c r="E378" s="6">
        <v>2</v>
      </c>
      <c r="F378" s="6">
        <v>1</v>
      </c>
      <c r="G378" s="6"/>
      <c r="H378" s="28"/>
      <c r="I378" s="6"/>
      <c r="J378" s="6"/>
      <c r="K378" s="6"/>
      <c r="L378" s="6"/>
      <c r="M378" s="6"/>
      <c r="N378" s="6"/>
      <c r="P378" s="6"/>
      <c r="Q378" s="6"/>
      <c r="R378" s="6"/>
      <c r="S378" s="6"/>
      <c r="T378" s="6"/>
      <c r="U378" s="6"/>
      <c r="V378" s="6"/>
      <c r="W378" s="6"/>
      <c r="X378" s="6"/>
      <c r="Y378" s="6">
        <v>1</v>
      </c>
      <c r="Z378" s="6"/>
      <c r="AA378" s="6"/>
      <c r="AB378" s="6"/>
      <c r="AC378" s="6"/>
      <c r="AD378" s="14"/>
      <c r="AE378" s="6"/>
      <c r="AF378" s="6"/>
      <c r="AG378" s="6"/>
      <c r="AH378" s="6"/>
      <c r="AI378" s="6"/>
      <c r="AJ378" s="6"/>
      <c r="AK378" s="6"/>
      <c r="AL378" s="6"/>
      <c r="AM378" s="6"/>
      <c r="AN378" s="28"/>
      <c r="AO378" s="6"/>
      <c r="AP378" s="6"/>
      <c r="AQ378" s="6"/>
      <c r="AR378" s="6"/>
      <c r="AS378" s="6">
        <v>1</v>
      </c>
      <c r="AT378" s="6"/>
      <c r="AU378" s="6"/>
      <c r="AV378" s="6"/>
      <c r="AW378" s="6"/>
      <c r="AX378" s="6">
        <v>1</v>
      </c>
      <c r="AY378" s="6">
        <v>1</v>
      </c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33">
        <f t="shared" si="17"/>
        <v>7</v>
      </c>
      <c r="BN378" s="33" t="s">
        <v>38</v>
      </c>
      <c r="BO378" s="33"/>
      <c r="BP378" s="55"/>
    </row>
    <row r="379" spans="1:68" s="9" customFormat="1" ht="11.25">
      <c r="A379" s="25" t="str">
        <f t="shared" si="18"/>
        <v>11978</v>
      </c>
      <c r="B379" s="58" t="s">
        <v>356</v>
      </c>
      <c r="C379" s="99" t="s">
        <v>81</v>
      </c>
      <c r="D379" s="99" t="s">
        <v>88</v>
      </c>
      <c r="E379" s="6">
        <v>2</v>
      </c>
      <c r="F379" s="6"/>
      <c r="G379" s="6"/>
      <c r="H379" s="28"/>
      <c r="I379" s="6"/>
      <c r="J379" s="6">
        <v>2</v>
      </c>
      <c r="K379" s="6"/>
      <c r="L379" s="6"/>
      <c r="M379" s="6"/>
      <c r="N379" s="6"/>
      <c r="P379" s="6"/>
      <c r="Q379" s="6"/>
      <c r="R379" s="6"/>
      <c r="S379" s="6"/>
      <c r="T379" s="6"/>
      <c r="U379" s="6"/>
      <c r="V379" s="6"/>
      <c r="W379" s="6"/>
      <c r="X379" s="6"/>
      <c r="Y379" s="6">
        <v>1</v>
      </c>
      <c r="Z379" s="6"/>
      <c r="AA379" s="6"/>
      <c r="AB379" s="6"/>
      <c r="AC379" s="6"/>
      <c r="AD379" s="14"/>
      <c r="AE379" s="6"/>
      <c r="AF379" s="6"/>
      <c r="AG379" s="6"/>
      <c r="AH379" s="6"/>
      <c r="AI379" s="6"/>
      <c r="AJ379" s="6"/>
      <c r="AK379" s="6"/>
      <c r="AL379" s="6"/>
      <c r="AM379" s="6"/>
      <c r="AN379" s="28"/>
      <c r="AO379" s="6"/>
      <c r="AP379" s="6"/>
      <c r="AQ379" s="6"/>
      <c r="AR379" s="6"/>
      <c r="AS379" s="6"/>
      <c r="AT379" s="6"/>
      <c r="AU379" s="6"/>
      <c r="AV379" s="6"/>
      <c r="AW379" s="6">
        <v>1</v>
      </c>
      <c r="AX379" s="6">
        <v>1</v>
      </c>
      <c r="AY379" s="6">
        <v>1</v>
      </c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33">
        <f t="shared" si="17"/>
        <v>8</v>
      </c>
      <c r="BN379" s="33" t="s">
        <v>38</v>
      </c>
      <c r="BO379" s="33"/>
      <c r="BP379" s="55"/>
    </row>
    <row r="380" spans="1:68" s="9" customFormat="1" ht="11.25">
      <c r="A380" s="25" t="str">
        <f t="shared" si="18"/>
        <v>11978</v>
      </c>
      <c r="B380" s="58" t="s">
        <v>357</v>
      </c>
      <c r="C380" s="99" t="s">
        <v>81</v>
      </c>
      <c r="D380" s="99" t="s">
        <v>86</v>
      </c>
      <c r="E380" s="6">
        <v>2</v>
      </c>
      <c r="F380" s="6"/>
      <c r="G380" s="6"/>
      <c r="H380" s="28"/>
      <c r="I380" s="6"/>
      <c r="J380" s="6">
        <v>2</v>
      </c>
      <c r="K380" s="6"/>
      <c r="L380" s="6"/>
      <c r="M380" s="6"/>
      <c r="N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14"/>
      <c r="AE380" s="6"/>
      <c r="AF380" s="6"/>
      <c r="AG380" s="6"/>
      <c r="AH380" s="6"/>
      <c r="AI380" s="6"/>
      <c r="AJ380" s="6"/>
      <c r="AK380" s="6"/>
      <c r="AL380" s="6"/>
      <c r="AM380" s="6"/>
      <c r="AN380" s="28"/>
      <c r="AO380" s="6"/>
      <c r="AP380" s="6"/>
      <c r="AQ380" s="6"/>
      <c r="AR380" s="6"/>
      <c r="AS380" s="6"/>
      <c r="AT380" s="6"/>
      <c r="AU380" s="6"/>
      <c r="AV380" s="6"/>
      <c r="AW380" s="6"/>
      <c r="AX380" s="6">
        <v>1</v>
      </c>
      <c r="AY380" s="6">
        <v>1</v>
      </c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33">
        <f t="shared" si="17"/>
        <v>6</v>
      </c>
      <c r="BN380" s="33" t="s">
        <v>38</v>
      </c>
      <c r="BO380" s="33"/>
      <c r="BP380" s="55"/>
    </row>
    <row r="381" spans="1:68" s="10" customFormat="1" ht="11.25">
      <c r="A381" s="25" t="str">
        <f>"07482"</f>
        <v>07482</v>
      </c>
      <c r="B381" s="58" t="s">
        <v>358</v>
      </c>
      <c r="C381" s="99" t="s">
        <v>6</v>
      </c>
      <c r="D381" s="99" t="s">
        <v>7</v>
      </c>
      <c r="E381" s="5">
        <v>15</v>
      </c>
      <c r="F381" s="5">
        <v>1</v>
      </c>
      <c r="G381" s="5"/>
      <c r="H381" s="28"/>
      <c r="I381" s="5"/>
      <c r="J381" s="5">
        <v>2</v>
      </c>
      <c r="K381" s="5"/>
      <c r="L381" s="5"/>
      <c r="M381" s="5"/>
      <c r="N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13"/>
      <c r="AE381" s="5"/>
      <c r="AF381" s="5"/>
      <c r="AG381" s="5"/>
      <c r="AH381" s="5"/>
      <c r="AI381" s="5"/>
      <c r="AJ381" s="5"/>
      <c r="AK381" s="5"/>
      <c r="AL381" s="5"/>
      <c r="AM381" s="5"/>
      <c r="AN381" s="28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33">
        <f t="shared" si="17"/>
        <v>18</v>
      </c>
      <c r="BN381" s="33" t="s">
        <v>38</v>
      </c>
      <c r="BO381" s="28"/>
      <c r="BP381" s="58"/>
    </row>
    <row r="382" spans="1:68" s="10" customFormat="1" ht="11.25">
      <c r="A382" s="25" t="str">
        <f>"07482"</f>
        <v>07482</v>
      </c>
      <c r="B382" s="65" t="s">
        <v>359</v>
      </c>
      <c r="C382" s="103" t="s">
        <v>6</v>
      </c>
      <c r="D382" s="99" t="s">
        <v>10</v>
      </c>
      <c r="E382" s="5"/>
      <c r="F382" s="5">
        <v>1</v>
      </c>
      <c r="G382" s="5"/>
      <c r="H382" s="28"/>
      <c r="I382" s="5"/>
      <c r="J382" s="5"/>
      <c r="K382" s="5"/>
      <c r="L382" s="5"/>
      <c r="M382" s="5"/>
      <c r="N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13"/>
      <c r="AE382" s="5"/>
      <c r="AF382" s="5"/>
      <c r="AG382" s="5"/>
      <c r="AH382" s="5"/>
      <c r="AI382" s="5"/>
      <c r="AJ382" s="5"/>
      <c r="AK382" s="5"/>
      <c r="AL382" s="5"/>
      <c r="AM382" s="5"/>
      <c r="AN382" s="28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33">
        <f t="shared" si="17"/>
        <v>1</v>
      </c>
      <c r="BN382" s="33" t="s">
        <v>38</v>
      </c>
      <c r="BO382" s="28"/>
      <c r="BP382" s="58"/>
    </row>
    <row r="383" spans="1:68" s="10" customFormat="1" ht="11.25">
      <c r="A383" s="25" t="str">
        <f>"07482"</f>
        <v>07482</v>
      </c>
      <c r="B383" s="58" t="s">
        <v>360</v>
      </c>
      <c r="C383" s="99" t="s">
        <v>6</v>
      </c>
      <c r="D383" s="99" t="s">
        <v>8</v>
      </c>
      <c r="E383" s="5">
        <v>5</v>
      </c>
      <c r="F383" s="5">
        <v>1</v>
      </c>
      <c r="G383" s="5"/>
      <c r="H383" s="28"/>
      <c r="I383" s="5"/>
      <c r="J383" s="5">
        <v>2</v>
      </c>
      <c r="K383" s="5"/>
      <c r="L383" s="5"/>
      <c r="M383" s="5"/>
      <c r="N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13"/>
      <c r="AE383" s="5"/>
      <c r="AF383" s="5"/>
      <c r="AG383" s="5"/>
      <c r="AH383" s="5"/>
      <c r="AI383" s="5"/>
      <c r="AJ383" s="5"/>
      <c r="AK383" s="5"/>
      <c r="AL383" s="5"/>
      <c r="AM383" s="5"/>
      <c r="AN383" s="28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33">
        <f t="shared" si="17"/>
        <v>8</v>
      </c>
      <c r="BN383" s="33" t="s">
        <v>38</v>
      </c>
      <c r="BO383" s="28"/>
      <c r="BP383" s="58"/>
    </row>
    <row r="384" spans="1:69" s="9" customFormat="1" ht="11.25">
      <c r="A384" s="25" t="str">
        <f>"07491"</f>
        <v>07491</v>
      </c>
      <c r="B384" s="58" t="s">
        <v>361</v>
      </c>
      <c r="C384" s="99" t="str">
        <f>"SZALAGOS IROMÁNYFEDÉL"</f>
        <v>SZALAGOS IROMÁNYFEDÉL</v>
      </c>
      <c r="D384" s="99" t="str">
        <f>"A/4"</f>
        <v>A/4</v>
      </c>
      <c r="E384" s="6"/>
      <c r="F384" s="6"/>
      <c r="G384" s="6"/>
      <c r="H384" s="28"/>
      <c r="I384" s="6"/>
      <c r="J384" s="6"/>
      <c r="K384" s="6"/>
      <c r="L384" s="6"/>
      <c r="M384" s="6"/>
      <c r="N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14"/>
      <c r="AE384" s="6"/>
      <c r="AF384" s="6"/>
      <c r="AG384" s="6"/>
      <c r="AH384" s="6"/>
      <c r="AI384" s="6"/>
      <c r="AJ384" s="6"/>
      <c r="AK384" s="6"/>
      <c r="AL384" s="6"/>
      <c r="AM384" s="6"/>
      <c r="AN384" s="28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>
        <v>4</v>
      </c>
      <c r="BE384" s="6"/>
      <c r="BF384" s="6"/>
      <c r="BG384" s="6"/>
      <c r="BH384" s="6"/>
      <c r="BI384" s="6">
        <v>10</v>
      </c>
      <c r="BJ384" s="6"/>
      <c r="BK384" s="6"/>
      <c r="BL384" s="6"/>
      <c r="BM384" s="33">
        <f t="shared" si="17"/>
        <v>14</v>
      </c>
      <c r="BN384" s="33" t="s">
        <v>38</v>
      </c>
      <c r="BO384" s="33"/>
      <c r="BP384" s="55"/>
      <c r="BQ384" s="10"/>
    </row>
    <row r="385" spans="1:68" s="10" customFormat="1" ht="22.5">
      <c r="A385" s="25" t="str">
        <f>"07589"</f>
        <v>07589</v>
      </c>
      <c r="B385" s="58" t="s">
        <v>362</v>
      </c>
      <c r="C385" s="99" t="s">
        <v>206</v>
      </c>
      <c r="D385" s="99" t="s">
        <v>17</v>
      </c>
      <c r="E385" s="5">
        <v>2</v>
      </c>
      <c r="F385" s="5"/>
      <c r="G385" s="5"/>
      <c r="H385" s="28"/>
      <c r="I385" s="5"/>
      <c r="J385" s="5"/>
      <c r="K385" s="5"/>
      <c r="L385" s="5"/>
      <c r="M385" s="5"/>
      <c r="N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>
        <v>1</v>
      </c>
      <c r="AB385" s="5"/>
      <c r="AC385" s="5"/>
      <c r="AD385" s="13"/>
      <c r="AE385" s="5"/>
      <c r="AF385" s="5"/>
      <c r="AG385" s="5"/>
      <c r="AH385" s="5"/>
      <c r="AI385" s="5"/>
      <c r="AJ385" s="5"/>
      <c r="AK385" s="5"/>
      <c r="AL385" s="5"/>
      <c r="AM385" s="5"/>
      <c r="AN385" s="28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33">
        <f t="shared" si="17"/>
        <v>3</v>
      </c>
      <c r="BN385" s="33" t="s">
        <v>38</v>
      </c>
      <c r="BO385" s="28"/>
      <c r="BP385" s="58"/>
    </row>
    <row r="386" spans="1:69" s="10" customFormat="1" ht="22.5">
      <c r="A386" s="25" t="str">
        <f>"07589"</f>
        <v>07589</v>
      </c>
      <c r="B386" s="58" t="s">
        <v>363</v>
      </c>
      <c r="C386" s="99" t="s">
        <v>206</v>
      </c>
      <c r="D386" s="99" t="s">
        <v>18</v>
      </c>
      <c r="E386" s="5"/>
      <c r="F386" s="5"/>
      <c r="G386" s="5"/>
      <c r="H386" s="28"/>
      <c r="I386" s="5"/>
      <c r="J386" s="5"/>
      <c r="K386" s="5"/>
      <c r="L386" s="5"/>
      <c r="M386" s="5"/>
      <c r="N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13"/>
      <c r="AE386" s="5"/>
      <c r="AF386" s="5"/>
      <c r="AG386" s="5"/>
      <c r="AH386" s="5"/>
      <c r="AI386" s="5"/>
      <c r="AJ386" s="5"/>
      <c r="AK386" s="5"/>
      <c r="AL386" s="5"/>
      <c r="AM386" s="5"/>
      <c r="AN386" s="28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>
        <v>1</v>
      </c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33">
        <f t="shared" si="17"/>
        <v>1</v>
      </c>
      <c r="BN386" s="33" t="s">
        <v>38</v>
      </c>
      <c r="BO386" s="28"/>
      <c r="BP386" s="58"/>
      <c r="BQ386" s="9"/>
    </row>
    <row r="387" spans="1:68" s="10" customFormat="1" ht="22.5">
      <c r="A387" s="25" t="str">
        <f>"07589"</f>
        <v>07589</v>
      </c>
      <c r="B387" s="58" t="s">
        <v>364</v>
      </c>
      <c r="C387" s="99" t="s">
        <v>206</v>
      </c>
      <c r="D387" s="99" t="s">
        <v>15</v>
      </c>
      <c r="E387" s="5">
        <v>2</v>
      </c>
      <c r="F387" s="5"/>
      <c r="G387" s="5"/>
      <c r="H387" s="28">
        <v>1</v>
      </c>
      <c r="I387" s="5"/>
      <c r="J387" s="5">
        <v>1</v>
      </c>
      <c r="K387" s="5"/>
      <c r="L387" s="5"/>
      <c r="M387" s="5"/>
      <c r="N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13"/>
      <c r="AE387" s="5"/>
      <c r="AF387" s="5"/>
      <c r="AG387" s="5"/>
      <c r="AH387" s="5"/>
      <c r="AI387" s="5"/>
      <c r="AJ387" s="5"/>
      <c r="AK387" s="5"/>
      <c r="AL387" s="5"/>
      <c r="AM387" s="5"/>
      <c r="AN387" s="28"/>
      <c r="AO387" s="5"/>
      <c r="AP387" s="5"/>
      <c r="AQ387" s="5"/>
      <c r="AR387" s="5"/>
      <c r="AS387" s="5"/>
      <c r="AT387" s="5"/>
      <c r="AU387" s="5"/>
      <c r="AV387" s="5"/>
      <c r="AW387" s="5"/>
      <c r="AX387" s="5">
        <v>1</v>
      </c>
      <c r="AY387" s="5"/>
      <c r="AZ387" s="5"/>
      <c r="BA387" s="5"/>
      <c r="BB387" s="5">
        <v>1</v>
      </c>
      <c r="BC387" s="5">
        <v>1</v>
      </c>
      <c r="BD387" s="5"/>
      <c r="BE387" s="5"/>
      <c r="BF387" s="5"/>
      <c r="BG387" s="5"/>
      <c r="BH387" s="5"/>
      <c r="BI387" s="5"/>
      <c r="BJ387" s="5"/>
      <c r="BK387" s="5"/>
      <c r="BL387" s="5"/>
      <c r="BM387" s="33">
        <f t="shared" si="17"/>
        <v>7</v>
      </c>
      <c r="BN387" s="33" t="s">
        <v>38</v>
      </c>
      <c r="BO387" s="28"/>
      <c r="BP387" s="58"/>
    </row>
    <row r="388" spans="1:68" s="10" customFormat="1" ht="22.5">
      <c r="A388" s="25" t="str">
        <f>"07589"</f>
        <v>07589</v>
      </c>
      <c r="B388" s="58" t="s">
        <v>365</v>
      </c>
      <c r="C388" s="99" t="s">
        <v>206</v>
      </c>
      <c r="D388" s="99" t="s">
        <v>16</v>
      </c>
      <c r="E388" s="5">
        <v>2</v>
      </c>
      <c r="F388" s="5"/>
      <c r="G388" s="5"/>
      <c r="H388" s="28"/>
      <c r="I388" s="5"/>
      <c r="J388" s="5">
        <v>1</v>
      </c>
      <c r="K388" s="5">
        <v>1</v>
      </c>
      <c r="L388" s="5">
        <v>1</v>
      </c>
      <c r="M388" s="5"/>
      <c r="N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>
        <v>1</v>
      </c>
      <c r="AB388" s="5"/>
      <c r="AC388" s="5"/>
      <c r="AD388" s="13"/>
      <c r="AE388" s="5"/>
      <c r="AF388" s="5"/>
      <c r="AG388" s="5"/>
      <c r="AH388" s="5"/>
      <c r="AI388" s="5"/>
      <c r="AJ388" s="5"/>
      <c r="AK388" s="5"/>
      <c r="AL388" s="5"/>
      <c r="AM388" s="5"/>
      <c r="AN388" s="28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33">
        <f t="shared" si="17"/>
        <v>6</v>
      </c>
      <c r="BN388" s="33" t="s">
        <v>38</v>
      </c>
      <c r="BO388" s="28"/>
      <c r="BP388" s="58"/>
    </row>
    <row r="389" spans="1:68" s="9" customFormat="1" ht="11.25">
      <c r="A389" s="25" t="str">
        <f>"07444"</f>
        <v>07444</v>
      </c>
      <c r="B389" s="58" t="s">
        <v>366</v>
      </c>
      <c r="C389" s="99" t="str">
        <f>"TÉPŐTÖMB (FEHÉR)"</f>
        <v>TÉPŐTÖMB (FEHÉR)</v>
      </c>
      <c r="D389" s="99" t="str">
        <f>"100X100 MM"</f>
        <v>100X100 MM</v>
      </c>
      <c r="E389" s="6"/>
      <c r="F389" s="6">
        <v>2</v>
      </c>
      <c r="G389" s="6">
        <v>2</v>
      </c>
      <c r="H389" s="28"/>
      <c r="I389" s="6"/>
      <c r="J389" s="6">
        <v>10</v>
      </c>
      <c r="K389" s="6">
        <v>1</v>
      </c>
      <c r="L389" s="6">
        <v>1</v>
      </c>
      <c r="M389" s="6">
        <v>3</v>
      </c>
      <c r="N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>
        <v>1</v>
      </c>
      <c r="AD389" s="14"/>
      <c r="AE389" s="6"/>
      <c r="AF389" s="6"/>
      <c r="AG389" s="6"/>
      <c r="AH389" s="6"/>
      <c r="AI389" s="6"/>
      <c r="AJ389" s="6"/>
      <c r="AK389" s="6"/>
      <c r="AL389" s="6"/>
      <c r="AM389" s="6"/>
      <c r="AN389" s="28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33">
        <f t="shared" si="17"/>
        <v>20</v>
      </c>
      <c r="BN389" s="33" t="s">
        <v>38</v>
      </c>
      <c r="BO389" s="33"/>
      <c r="BP389" s="55"/>
    </row>
    <row r="390" spans="1:68" s="9" customFormat="1" ht="11.25">
      <c r="A390" s="25" t="str">
        <f>"07697"</f>
        <v>07697</v>
      </c>
      <c r="B390" s="58" t="s">
        <v>367</v>
      </c>
      <c r="C390" s="99" t="s">
        <v>32</v>
      </c>
      <c r="D390" s="99" t="str">
        <f>"050X040 MM"</f>
        <v>050X040 MM</v>
      </c>
      <c r="E390" s="6">
        <v>6</v>
      </c>
      <c r="F390" s="6">
        <v>4</v>
      </c>
      <c r="G390" s="6"/>
      <c r="H390" s="28"/>
      <c r="I390" s="6"/>
      <c r="J390" s="6"/>
      <c r="K390" s="6"/>
      <c r="L390" s="6"/>
      <c r="M390" s="6"/>
      <c r="N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14"/>
      <c r="AE390" s="6"/>
      <c r="AF390" s="6"/>
      <c r="AG390" s="6"/>
      <c r="AH390" s="6"/>
      <c r="AI390" s="6"/>
      <c r="AJ390" s="6"/>
      <c r="AK390" s="6"/>
      <c r="AL390" s="6"/>
      <c r="AM390" s="6"/>
      <c r="AN390" s="28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33">
        <f t="shared" si="17"/>
        <v>10</v>
      </c>
      <c r="BN390" s="33" t="s">
        <v>38</v>
      </c>
      <c r="BO390" s="33"/>
      <c r="BP390" s="55"/>
    </row>
    <row r="391" spans="1:68" s="9" customFormat="1" ht="11.25">
      <c r="A391" s="25" t="str">
        <f>"08400"</f>
        <v>08400</v>
      </c>
      <c r="B391" s="58" t="s">
        <v>368</v>
      </c>
      <c r="C391" s="99" t="s">
        <v>32</v>
      </c>
      <c r="D391" s="99" t="str">
        <f>"075X075 MM"</f>
        <v>075X075 MM</v>
      </c>
      <c r="E391" s="6">
        <v>6</v>
      </c>
      <c r="F391" s="6">
        <v>2</v>
      </c>
      <c r="G391" s="6"/>
      <c r="H391" s="28"/>
      <c r="I391" s="6"/>
      <c r="J391" s="6"/>
      <c r="K391" s="6"/>
      <c r="L391" s="6"/>
      <c r="M391" s="6"/>
      <c r="N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14"/>
      <c r="AE391" s="6"/>
      <c r="AF391" s="6"/>
      <c r="AG391" s="6"/>
      <c r="AH391" s="6"/>
      <c r="AI391" s="6"/>
      <c r="AJ391" s="6"/>
      <c r="AK391" s="6"/>
      <c r="AL391" s="6"/>
      <c r="AM391" s="6"/>
      <c r="AN391" s="28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33">
        <f t="shared" si="17"/>
        <v>8</v>
      </c>
      <c r="BN391" s="33" t="s">
        <v>38</v>
      </c>
      <c r="BO391" s="33"/>
      <c r="BP391" s="55"/>
    </row>
    <row r="392" spans="1:68" s="9" customFormat="1" ht="22.5">
      <c r="A392" s="25">
        <v>12019</v>
      </c>
      <c r="B392" s="58" t="s">
        <v>369</v>
      </c>
      <c r="C392" s="99" t="s">
        <v>212</v>
      </c>
      <c r="D392" s="99" t="s">
        <v>91</v>
      </c>
      <c r="E392" s="6"/>
      <c r="F392" s="6"/>
      <c r="G392" s="6"/>
      <c r="H392" s="28"/>
      <c r="I392" s="6"/>
      <c r="J392" s="6"/>
      <c r="K392" s="6"/>
      <c r="L392" s="6"/>
      <c r="M392" s="6"/>
      <c r="N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14"/>
      <c r="AE392" s="6"/>
      <c r="AF392" s="6"/>
      <c r="AG392" s="6"/>
      <c r="AH392" s="6"/>
      <c r="AI392" s="6"/>
      <c r="AJ392" s="6"/>
      <c r="AK392" s="6"/>
      <c r="AL392" s="6"/>
      <c r="AM392" s="6"/>
      <c r="AN392" s="28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>
        <v>1</v>
      </c>
      <c r="BA392" s="6"/>
      <c r="BB392" s="6"/>
      <c r="BC392" s="6"/>
      <c r="BD392" s="6"/>
      <c r="BE392" s="6"/>
      <c r="BF392" s="6"/>
      <c r="BG392" s="6"/>
      <c r="BH392" s="6"/>
      <c r="BI392" s="6"/>
      <c r="BJ392" s="6">
        <v>1</v>
      </c>
      <c r="BK392" s="6"/>
      <c r="BL392" s="6"/>
      <c r="BM392" s="33">
        <f t="shared" si="17"/>
        <v>2</v>
      </c>
      <c r="BN392" s="33" t="s">
        <v>38</v>
      </c>
      <c r="BO392" s="33"/>
      <c r="BP392" s="55"/>
    </row>
    <row r="393" spans="1:68" s="9" customFormat="1" ht="22.5">
      <c r="A393" s="25" t="str">
        <f>"07631"</f>
        <v>07631</v>
      </c>
      <c r="B393" s="58" t="s">
        <v>370</v>
      </c>
      <c r="C393" s="99" t="s">
        <v>190</v>
      </c>
      <c r="D393" s="99" t="s">
        <v>213</v>
      </c>
      <c r="E393" s="6"/>
      <c r="F393" s="6"/>
      <c r="G393" s="6"/>
      <c r="H393" s="28"/>
      <c r="I393" s="6"/>
      <c r="J393" s="6">
        <v>2</v>
      </c>
      <c r="K393" s="6"/>
      <c r="L393" s="6"/>
      <c r="M393" s="6"/>
      <c r="N393" s="6"/>
      <c r="P393" s="6"/>
      <c r="Q393" s="6"/>
      <c r="R393" s="6"/>
      <c r="S393" s="6"/>
      <c r="T393" s="6"/>
      <c r="U393" s="6">
        <v>1</v>
      </c>
      <c r="V393" s="6"/>
      <c r="W393" s="6"/>
      <c r="X393" s="6"/>
      <c r="Y393" s="6">
        <v>1</v>
      </c>
      <c r="Z393" s="6"/>
      <c r="AA393" s="6"/>
      <c r="AB393" s="6"/>
      <c r="AC393" s="6"/>
      <c r="AD393" s="14"/>
      <c r="AE393" s="6"/>
      <c r="AF393" s="6"/>
      <c r="AG393" s="6"/>
      <c r="AH393" s="6"/>
      <c r="AI393" s="6"/>
      <c r="AJ393" s="6"/>
      <c r="AK393" s="6"/>
      <c r="AL393" s="6"/>
      <c r="AM393" s="6"/>
      <c r="AN393" s="28"/>
      <c r="AO393" s="6"/>
      <c r="AP393" s="6"/>
      <c r="AQ393" s="6"/>
      <c r="AR393" s="6">
        <v>1</v>
      </c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>
        <v>1</v>
      </c>
      <c r="BK393" s="6"/>
      <c r="BL393" s="6"/>
      <c r="BM393" s="33">
        <f t="shared" si="17"/>
        <v>6</v>
      </c>
      <c r="BN393" s="33" t="s">
        <v>38</v>
      </c>
      <c r="BO393" s="33"/>
      <c r="BP393" s="55"/>
    </row>
    <row r="394" spans="1:68" s="10" customFormat="1" ht="11.25">
      <c r="A394" s="25" t="str">
        <f>"09410"</f>
        <v>09410</v>
      </c>
      <c r="B394" s="58" t="s">
        <v>371</v>
      </c>
      <c r="C394" s="99" t="s">
        <v>43</v>
      </c>
      <c r="D394" s="99" t="s">
        <v>90</v>
      </c>
      <c r="E394" s="5"/>
      <c r="F394" s="5"/>
      <c r="G394" s="5">
        <v>4</v>
      </c>
      <c r="H394" s="28"/>
      <c r="I394" s="5"/>
      <c r="J394" s="5"/>
      <c r="K394" s="5"/>
      <c r="L394" s="5"/>
      <c r="M394" s="5"/>
      <c r="N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13"/>
      <c r="AE394" s="5"/>
      <c r="AF394" s="5"/>
      <c r="AG394" s="5"/>
      <c r="AH394" s="5"/>
      <c r="AI394" s="5"/>
      <c r="AJ394" s="5"/>
      <c r="AK394" s="5"/>
      <c r="AL394" s="5"/>
      <c r="AM394" s="5"/>
      <c r="AN394" s="28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>
        <v>2</v>
      </c>
      <c r="BA394" s="5"/>
      <c r="BB394" s="5"/>
      <c r="BC394" s="5"/>
      <c r="BD394" s="5"/>
      <c r="BE394" s="5"/>
      <c r="BF394" s="5"/>
      <c r="BG394" s="5"/>
      <c r="BH394" s="5"/>
      <c r="BI394" s="5"/>
      <c r="BJ394" s="6">
        <v>1</v>
      </c>
      <c r="BK394" s="5"/>
      <c r="BL394" s="5"/>
      <c r="BM394" s="33">
        <f t="shared" si="17"/>
        <v>7</v>
      </c>
      <c r="BN394" s="33" t="s">
        <v>45</v>
      </c>
      <c r="BO394" s="28"/>
      <c r="BP394" s="58"/>
    </row>
    <row r="395" spans="1:68" s="9" customFormat="1" ht="11.25">
      <c r="A395" s="25" t="str">
        <f>"06366"</f>
        <v>06366</v>
      </c>
      <c r="B395" s="58" t="s">
        <v>372</v>
      </c>
      <c r="C395" s="99" t="s">
        <v>43</v>
      </c>
      <c r="D395" s="99" t="s">
        <v>13</v>
      </c>
      <c r="E395" s="6">
        <v>2</v>
      </c>
      <c r="F395" s="6">
        <v>10</v>
      </c>
      <c r="G395" s="6"/>
      <c r="H395" s="28"/>
      <c r="I395" s="6"/>
      <c r="J395" s="6">
        <v>2</v>
      </c>
      <c r="K395" s="6">
        <v>10</v>
      </c>
      <c r="L395" s="6">
        <v>10</v>
      </c>
      <c r="M395" s="6"/>
      <c r="N395" s="6"/>
      <c r="P395" s="6"/>
      <c r="Q395" s="6"/>
      <c r="R395" s="6"/>
      <c r="S395" s="6"/>
      <c r="T395" s="6"/>
      <c r="U395" s="6"/>
      <c r="V395" s="6"/>
      <c r="W395" s="6"/>
      <c r="X395" s="6"/>
      <c r="Y395" s="6">
        <v>2</v>
      </c>
      <c r="Z395" s="6">
        <v>1</v>
      </c>
      <c r="AA395" s="6"/>
      <c r="AB395" s="6"/>
      <c r="AC395" s="6"/>
      <c r="AD395" s="14"/>
      <c r="AE395" s="6"/>
      <c r="AF395" s="6"/>
      <c r="AG395" s="6"/>
      <c r="AH395" s="6"/>
      <c r="AI395" s="6"/>
      <c r="AJ395" s="6"/>
      <c r="AK395" s="6"/>
      <c r="AL395" s="6"/>
      <c r="AM395" s="6"/>
      <c r="AN395" s="28"/>
      <c r="AO395" s="6"/>
      <c r="AP395" s="6"/>
      <c r="AQ395" s="6"/>
      <c r="AR395" s="6">
        <v>5</v>
      </c>
      <c r="AS395" s="6">
        <v>2</v>
      </c>
      <c r="AT395" s="6"/>
      <c r="AU395" s="6"/>
      <c r="AV395" s="6">
        <v>2</v>
      </c>
      <c r="AW395" s="6"/>
      <c r="AX395" s="6"/>
      <c r="AY395" s="6"/>
      <c r="AZ395" s="6"/>
      <c r="BA395" s="6">
        <v>10</v>
      </c>
      <c r="BB395" s="6"/>
      <c r="BC395" s="6"/>
      <c r="BD395" s="6"/>
      <c r="BE395" s="6"/>
      <c r="BF395" s="6"/>
      <c r="BG395" s="6"/>
      <c r="BH395" s="6"/>
      <c r="BI395" s="6"/>
      <c r="BJ395" s="6">
        <v>1</v>
      </c>
      <c r="BK395" s="6"/>
      <c r="BL395" s="6"/>
      <c r="BM395" s="33">
        <f t="shared" si="17"/>
        <v>57</v>
      </c>
      <c r="BN395" s="33" t="s">
        <v>45</v>
      </c>
      <c r="BO395" s="33"/>
      <c r="BP395" s="55"/>
    </row>
    <row r="396" spans="1:69" s="10" customFormat="1" ht="11.25">
      <c r="A396" s="25" t="str">
        <f>"09751"</f>
        <v>09751</v>
      </c>
      <c r="B396" s="58" t="s">
        <v>373</v>
      </c>
      <c r="C396" s="99" t="s">
        <v>93</v>
      </c>
      <c r="D396" s="99"/>
      <c r="E396" s="5"/>
      <c r="F396" s="5"/>
      <c r="G396" s="5"/>
      <c r="H396" s="28"/>
      <c r="I396" s="5"/>
      <c r="J396" s="5"/>
      <c r="K396" s="5"/>
      <c r="L396" s="5"/>
      <c r="M396" s="5"/>
      <c r="N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13"/>
      <c r="AE396" s="5"/>
      <c r="AF396" s="5"/>
      <c r="AG396" s="5"/>
      <c r="AH396" s="5"/>
      <c r="AI396" s="5"/>
      <c r="AJ396" s="5"/>
      <c r="AK396" s="5"/>
      <c r="AL396" s="5"/>
      <c r="AM396" s="5"/>
      <c r="AN396" s="28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6">
        <v>1</v>
      </c>
      <c r="BK396" s="5"/>
      <c r="BL396" s="5"/>
      <c r="BM396" s="33">
        <f t="shared" si="17"/>
        <v>1</v>
      </c>
      <c r="BN396" s="33" t="s">
        <v>38</v>
      </c>
      <c r="BO396" s="28"/>
      <c r="BP396" s="58"/>
      <c r="BQ396" s="9"/>
    </row>
    <row r="397" spans="1:68" s="9" customFormat="1" ht="11.25">
      <c r="A397" s="25" t="str">
        <f>"09750"</f>
        <v>09750</v>
      </c>
      <c r="B397" s="58" t="s">
        <v>374</v>
      </c>
      <c r="C397" s="99" t="s">
        <v>41</v>
      </c>
      <c r="D397" s="99" t="s">
        <v>138</v>
      </c>
      <c r="E397" s="6"/>
      <c r="F397" s="6"/>
      <c r="G397" s="6"/>
      <c r="I397" s="6"/>
      <c r="J397" s="6">
        <v>4</v>
      </c>
      <c r="K397" s="6"/>
      <c r="L397" s="6"/>
      <c r="M397" s="6"/>
      <c r="N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14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33">
        <f t="shared" si="17"/>
        <v>4</v>
      </c>
      <c r="BN397" s="33" t="s">
        <v>38</v>
      </c>
      <c r="BO397" s="33"/>
      <c r="BP397" s="55"/>
    </row>
    <row r="398" spans="1:68" s="9" customFormat="1" ht="11.25">
      <c r="A398" s="25" t="str">
        <f>"09750"</f>
        <v>09750</v>
      </c>
      <c r="B398" s="58" t="s">
        <v>375</v>
      </c>
      <c r="C398" s="99" t="s">
        <v>41</v>
      </c>
      <c r="D398" s="99" t="s">
        <v>42</v>
      </c>
      <c r="E398" s="6"/>
      <c r="F398" s="6">
        <v>2</v>
      </c>
      <c r="G398" s="6">
        <v>1</v>
      </c>
      <c r="H398" s="28"/>
      <c r="I398" s="6"/>
      <c r="J398" s="6">
        <v>4</v>
      </c>
      <c r="K398" s="6"/>
      <c r="L398" s="6"/>
      <c r="M398" s="6">
        <v>2</v>
      </c>
      <c r="N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14"/>
      <c r="AE398" s="6"/>
      <c r="AF398" s="6"/>
      <c r="AG398" s="6"/>
      <c r="AH398" s="6"/>
      <c r="AI398" s="6"/>
      <c r="AJ398" s="6"/>
      <c r="AK398" s="6"/>
      <c r="AL398" s="6"/>
      <c r="AM398" s="6"/>
      <c r="AN398" s="28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33">
        <f t="shared" si="17"/>
        <v>9</v>
      </c>
      <c r="BN398" s="33" t="s">
        <v>38</v>
      </c>
      <c r="BO398" s="33"/>
      <c r="BP398" s="55"/>
    </row>
    <row r="399" spans="1:68" s="9" customFormat="1" ht="22.5">
      <c r="A399" s="25" t="str">
        <f>"09750"</f>
        <v>09750</v>
      </c>
      <c r="B399" s="58" t="s">
        <v>376</v>
      </c>
      <c r="C399" s="100" t="s">
        <v>172</v>
      </c>
      <c r="D399" s="100"/>
      <c r="E399" s="6"/>
      <c r="F399" s="6">
        <v>2</v>
      </c>
      <c r="G399" s="6"/>
      <c r="I399" s="6"/>
      <c r="J399" s="6"/>
      <c r="K399" s="6"/>
      <c r="L399" s="6"/>
      <c r="M399" s="6"/>
      <c r="N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14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33">
        <f t="shared" si="17"/>
        <v>2</v>
      </c>
      <c r="BN399" s="33" t="s">
        <v>38</v>
      </c>
      <c r="BO399" s="33"/>
      <c r="BP399" s="55"/>
    </row>
    <row r="400" spans="1:68" s="9" customFormat="1" ht="11.25">
      <c r="A400" s="25" t="str">
        <f>"08398"</f>
        <v>08398</v>
      </c>
      <c r="B400" s="58" t="s">
        <v>377</v>
      </c>
      <c r="C400" s="100" t="s">
        <v>177</v>
      </c>
      <c r="D400" s="100" t="s">
        <v>96</v>
      </c>
      <c r="E400" s="6">
        <v>15</v>
      </c>
      <c r="F400" s="6"/>
      <c r="G400" s="6">
        <v>20</v>
      </c>
      <c r="I400" s="6"/>
      <c r="J400" s="6"/>
      <c r="K400" s="6"/>
      <c r="L400" s="6"/>
      <c r="M400" s="6"/>
      <c r="N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14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>
        <v>3</v>
      </c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33">
        <f t="shared" si="17"/>
        <v>38</v>
      </c>
      <c r="BN400" s="33" t="s">
        <v>38</v>
      </c>
      <c r="BO400" s="33"/>
      <c r="BP400" s="55"/>
    </row>
    <row r="401" spans="1:68" s="10" customFormat="1" ht="12" thickBot="1">
      <c r="A401" s="24">
        <v>13513</v>
      </c>
      <c r="B401" s="60" t="s">
        <v>378</v>
      </c>
      <c r="C401" s="99" t="s">
        <v>123</v>
      </c>
      <c r="D401" s="104" t="s">
        <v>65</v>
      </c>
      <c r="E401" s="5"/>
      <c r="F401" s="5"/>
      <c r="G401" s="5"/>
      <c r="H401" s="28"/>
      <c r="I401" s="5"/>
      <c r="J401" s="5">
        <v>1</v>
      </c>
      <c r="K401" s="5"/>
      <c r="L401" s="5"/>
      <c r="M401" s="5"/>
      <c r="N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13"/>
      <c r="AE401" s="5"/>
      <c r="AF401" s="5"/>
      <c r="AG401" s="5"/>
      <c r="AH401" s="5"/>
      <c r="AI401" s="5"/>
      <c r="AJ401" s="5"/>
      <c r="AK401" s="5"/>
      <c r="AL401" s="5"/>
      <c r="AM401" s="5"/>
      <c r="AN401" s="28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33">
        <f t="shared" si="17"/>
        <v>1</v>
      </c>
      <c r="BN401" s="33" t="s">
        <v>38</v>
      </c>
      <c r="BO401" s="28"/>
      <c r="BP401" s="58"/>
    </row>
    <row r="402" spans="1:117" s="17" customFormat="1" ht="12" hidden="1" thickBot="1">
      <c r="A402" s="81" t="s">
        <v>143</v>
      </c>
      <c r="B402" s="82"/>
      <c r="C402" s="83"/>
      <c r="D402" s="84"/>
      <c r="E402" s="16"/>
      <c r="F402" s="16"/>
      <c r="G402" s="16"/>
      <c r="I402" s="16"/>
      <c r="J402" s="16"/>
      <c r="K402" s="16"/>
      <c r="L402" s="16"/>
      <c r="M402" s="18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9"/>
      <c r="AE402" s="16"/>
      <c r="AF402" s="16"/>
      <c r="AG402" s="16"/>
      <c r="AH402" s="16"/>
      <c r="AI402" s="16"/>
      <c r="AJ402" s="16"/>
      <c r="AK402" s="16"/>
      <c r="AL402" s="16"/>
      <c r="AM402" s="16"/>
      <c r="AN402" s="18"/>
      <c r="AO402" s="16"/>
      <c r="AP402" s="18"/>
      <c r="AQ402" s="16"/>
      <c r="AR402" s="16"/>
      <c r="AS402" s="16"/>
      <c r="AT402" s="16"/>
      <c r="AU402" s="16"/>
      <c r="AV402" s="16"/>
      <c r="AW402" s="16"/>
      <c r="AX402" s="16"/>
      <c r="AY402" s="16"/>
      <c r="AZ402" s="20"/>
      <c r="BA402" s="20"/>
      <c r="BB402" s="20"/>
      <c r="BC402" s="20"/>
      <c r="BD402" s="16"/>
      <c r="BE402" s="16"/>
      <c r="BF402" s="16"/>
      <c r="BG402" s="16"/>
      <c r="BH402" s="16"/>
      <c r="BI402" s="16"/>
      <c r="BJ402" s="16"/>
      <c r="BK402" s="16"/>
      <c r="BL402" s="16"/>
      <c r="BM402" s="33"/>
      <c r="BN402" s="33"/>
      <c r="BO402" s="33"/>
      <c r="BP402" s="55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</row>
    <row r="403" spans="1:117" s="17" customFormat="1" ht="12" hidden="1" thickBot="1">
      <c r="A403" s="22"/>
      <c r="B403" s="61"/>
      <c r="C403" s="105"/>
      <c r="D403" s="105"/>
      <c r="E403" s="16"/>
      <c r="F403" s="16"/>
      <c r="G403" s="16"/>
      <c r="I403" s="16"/>
      <c r="J403" s="16"/>
      <c r="K403" s="16"/>
      <c r="L403" s="16"/>
      <c r="M403" s="18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9"/>
      <c r="AE403" s="16"/>
      <c r="AF403" s="16"/>
      <c r="AG403" s="16"/>
      <c r="AH403" s="16"/>
      <c r="AI403" s="16"/>
      <c r="AJ403" s="16"/>
      <c r="AK403" s="16"/>
      <c r="AL403" s="16"/>
      <c r="AM403" s="16"/>
      <c r="AN403" s="18"/>
      <c r="AO403" s="16"/>
      <c r="AP403" s="18"/>
      <c r="AQ403" s="16"/>
      <c r="AR403" s="16"/>
      <c r="AS403" s="16"/>
      <c r="AT403" s="16"/>
      <c r="AU403" s="16"/>
      <c r="AV403" s="16"/>
      <c r="AW403" s="16"/>
      <c r="AX403" s="16"/>
      <c r="AY403" s="16"/>
      <c r="AZ403" s="20"/>
      <c r="BA403" s="20"/>
      <c r="BB403" s="20"/>
      <c r="BC403" s="20"/>
      <c r="BD403" s="16"/>
      <c r="BE403" s="16"/>
      <c r="BF403" s="16"/>
      <c r="BG403" s="16"/>
      <c r="BH403" s="16"/>
      <c r="BI403" s="16"/>
      <c r="BJ403" s="16"/>
      <c r="BK403" s="16"/>
      <c r="BL403" s="16"/>
      <c r="BM403" s="33"/>
      <c r="BN403" s="33"/>
      <c r="BO403" s="33"/>
      <c r="BP403" s="55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</row>
    <row r="404" spans="1:117" s="17" customFormat="1" ht="12" hidden="1" thickBot="1">
      <c r="A404" s="22"/>
      <c r="B404" s="61"/>
      <c r="C404" s="105"/>
      <c r="D404" s="105"/>
      <c r="E404" s="16"/>
      <c r="F404" s="16"/>
      <c r="G404" s="16"/>
      <c r="I404" s="16"/>
      <c r="J404" s="16"/>
      <c r="K404" s="16"/>
      <c r="L404" s="16"/>
      <c r="M404" s="18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9"/>
      <c r="AE404" s="16"/>
      <c r="AF404" s="16"/>
      <c r="AG404" s="16"/>
      <c r="AH404" s="16"/>
      <c r="AI404" s="16"/>
      <c r="AJ404" s="16"/>
      <c r="AK404" s="16"/>
      <c r="AL404" s="16"/>
      <c r="AM404" s="16"/>
      <c r="AN404" s="18"/>
      <c r="AO404" s="16"/>
      <c r="AP404" s="18"/>
      <c r="AQ404" s="16"/>
      <c r="AR404" s="16"/>
      <c r="AS404" s="16"/>
      <c r="AT404" s="16"/>
      <c r="AU404" s="16"/>
      <c r="AV404" s="16"/>
      <c r="AW404" s="16"/>
      <c r="AX404" s="16"/>
      <c r="AY404" s="16"/>
      <c r="AZ404" s="20"/>
      <c r="BA404" s="20"/>
      <c r="BB404" s="20"/>
      <c r="BC404" s="20"/>
      <c r="BD404" s="16"/>
      <c r="BE404" s="16"/>
      <c r="BF404" s="16"/>
      <c r="BG404" s="16"/>
      <c r="BH404" s="16"/>
      <c r="BI404" s="16"/>
      <c r="BJ404" s="16"/>
      <c r="BK404" s="16"/>
      <c r="BL404" s="16"/>
      <c r="BM404" s="33"/>
      <c r="BN404" s="33"/>
      <c r="BO404" s="33"/>
      <c r="BP404" s="55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</row>
    <row r="405" spans="1:117" s="17" customFormat="1" ht="12" hidden="1" thickBot="1">
      <c r="A405" s="22"/>
      <c r="B405" s="61"/>
      <c r="C405" s="105"/>
      <c r="D405" s="105"/>
      <c r="E405" s="16"/>
      <c r="F405" s="16"/>
      <c r="G405" s="16"/>
      <c r="I405" s="16"/>
      <c r="J405" s="16"/>
      <c r="K405" s="16"/>
      <c r="L405" s="16"/>
      <c r="M405" s="18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9"/>
      <c r="AE405" s="16"/>
      <c r="AF405" s="16"/>
      <c r="AG405" s="16"/>
      <c r="AH405" s="16"/>
      <c r="AI405" s="16"/>
      <c r="AJ405" s="16"/>
      <c r="AK405" s="16"/>
      <c r="AL405" s="16"/>
      <c r="AM405" s="16"/>
      <c r="AN405" s="18"/>
      <c r="AO405" s="16"/>
      <c r="AP405" s="18"/>
      <c r="AQ405" s="16"/>
      <c r="AR405" s="16"/>
      <c r="AS405" s="16"/>
      <c r="AT405" s="16"/>
      <c r="AU405" s="16"/>
      <c r="AV405" s="16"/>
      <c r="AW405" s="16"/>
      <c r="AX405" s="16"/>
      <c r="AY405" s="16"/>
      <c r="AZ405" s="20"/>
      <c r="BA405" s="20"/>
      <c r="BB405" s="20"/>
      <c r="BC405" s="20"/>
      <c r="BD405" s="16"/>
      <c r="BE405" s="16"/>
      <c r="BF405" s="16"/>
      <c r="BG405" s="16"/>
      <c r="BH405" s="16"/>
      <c r="BI405" s="16"/>
      <c r="BJ405" s="16"/>
      <c r="BK405" s="16"/>
      <c r="BL405" s="16"/>
      <c r="BM405" s="33"/>
      <c r="BN405" s="33"/>
      <c r="BO405" s="33"/>
      <c r="BP405" s="55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</row>
    <row r="406" spans="1:117" s="17" customFormat="1" ht="12" hidden="1" thickBot="1">
      <c r="A406" s="22"/>
      <c r="B406" s="61"/>
      <c r="C406" s="105"/>
      <c r="D406" s="105"/>
      <c r="E406" s="16"/>
      <c r="F406" s="16"/>
      <c r="G406" s="16"/>
      <c r="I406" s="16"/>
      <c r="J406" s="16"/>
      <c r="K406" s="16"/>
      <c r="L406" s="16"/>
      <c r="M406" s="18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9"/>
      <c r="AE406" s="16"/>
      <c r="AF406" s="16"/>
      <c r="AG406" s="16"/>
      <c r="AH406" s="16"/>
      <c r="AI406" s="16"/>
      <c r="AJ406" s="16"/>
      <c r="AK406" s="16"/>
      <c r="AL406" s="16"/>
      <c r="AM406" s="16"/>
      <c r="AN406" s="18"/>
      <c r="AO406" s="16"/>
      <c r="AP406" s="18"/>
      <c r="AQ406" s="16"/>
      <c r="AR406" s="16"/>
      <c r="AS406" s="16"/>
      <c r="AT406" s="16"/>
      <c r="AU406" s="16"/>
      <c r="AV406" s="16"/>
      <c r="AW406" s="16"/>
      <c r="AX406" s="16"/>
      <c r="AY406" s="16"/>
      <c r="AZ406" s="20"/>
      <c r="BA406" s="20"/>
      <c r="BB406" s="20"/>
      <c r="BC406" s="20"/>
      <c r="BD406" s="16"/>
      <c r="BE406" s="16"/>
      <c r="BF406" s="16"/>
      <c r="BG406" s="16"/>
      <c r="BH406" s="16"/>
      <c r="BI406" s="16"/>
      <c r="BJ406" s="16"/>
      <c r="BK406" s="16"/>
      <c r="BL406" s="16"/>
      <c r="BM406" s="33"/>
      <c r="BN406" s="33"/>
      <c r="BO406" s="33"/>
      <c r="BP406" s="55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</row>
    <row r="407" spans="1:117" s="17" customFormat="1" ht="12" hidden="1" thickBot="1">
      <c r="A407" s="22"/>
      <c r="B407" s="61"/>
      <c r="C407" s="105"/>
      <c r="D407" s="105"/>
      <c r="E407" s="16"/>
      <c r="F407" s="16"/>
      <c r="G407" s="16"/>
      <c r="I407" s="16"/>
      <c r="J407" s="16"/>
      <c r="K407" s="16"/>
      <c r="L407" s="16"/>
      <c r="M407" s="18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9"/>
      <c r="AE407" s="16"/>
      <c r="AF407" s="16"/>
      <c r="AG407" s="16"/>
      <c r="AH407" s="16"/>
      <c r="AI407" s="16"/>
      <c r="AJ407" s="16"/>
      <c r="AK407" s="16"/>
      <c r="AL407" s="16"/>
      <c r="AM407" s="16"/>
      <c r="AN407" s="18"/>
      <c r="AO407" s="16"/>
      <c r="AP407" s="18"/>
      <c r="AQ407" s="16"/>
      <c r="AR407" s="16"/>
      <c r="AS407" s="16"/>
      <c r="AT407" s="16"/>
      <c r="AU407" s="16"/>
      <c r="AV407" s="16"/>
      <c r="AW407" s="16"/>
      <c r="AX407" s="16"/>
      <c r="AY407" s="16"/>
      <c r="AZ407" s="20"/>
      <c r="BA407" s="20"/>
      <c r="BB407" s="20"/>
      <c r="BC407" s="20"/>
      <c r="BD407" s="16"/>
      <c r="BE407" s="16"/>
      <c r="BF407" s="16"/>
      <c r="BG407" s="16"/>
      <c r="BH407" s="16"/>
      <c r="BI407" s="16"/>
      <c r="BJ407" s="16"/>
      <c r="BK407" s="16"/>
      <c r="BL407" s="16"/>
      <c r="BM407" s="33"/>
      <c r="BN407" s="33"/>
      <c r="BO407" s="33"/>
      <c r="BP407" s="55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</row>
    <row r="408" spans="1:117" s="17" customFormat="1" ht="12" hidden="1" thickBot="1">
      <c r="A408" s="22"/>
      <c r="B408" s="61"/>
      <c r="C408" s="105"/>
      <c r="D408" s="105"/>
      <c r="E408" s="16"/>
      <c r="F408" s="16"/>
      <c r="G408" s="16"/>
      <c r="I408" s="16"/>
      <c r="J408" s="16"/>
      <c r="K408" s="16"/>
      <c r="L408" s="16"/>
      <c r="M408" s="18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9"/>
      <c r="AE408" s="16"/>
      <c r="AF408" s="16"/>
      <c r="AG408" s="16"/>
      <c r="AH408" s="16"/>
      <c r="AI408" s="16"/>
      <c r="AJ408" s="16"/>
      <c r="AK408" s="16"/>
      <c r="AL408" s="16"/>
      <c r="AM408" s="16"/>
      <c r="AN408" s="18"/>
      <c r="AO408" s="16"/>
      <c r="AP408" s="18"/>
      <c r="AQ408" s="16"/>
      <c r="AR408" s="16"/>
      <c r="AS408" s="16"/>
      <c r="AT408" s="16"/>
      <c r="AU408" s="16"/>
      <c r="AV408" s="16"/>
      <c r="AW408" s="16"/>
      <c r="AX408" s="16"/>
      <c r="AY408" s="16"/>
      <c r="AZ408" s="20"/>
      <c r="BA408" s="20"/>
      <c r="BB408" s="20"/>
      <c r="BC408" s="20"/>
      <c r="BD408" s="16"/>
      <c r="BE408" s="16"/>
      <c r="BF408" s="16"/>
      <c r="BG408" s="16"/>
      <c r="BH408" s="16"/>
      <c r="BI408" s="16"/>
      <c r="BJ408" s="16"/>
      <c r="BK408" s="16"/>
      <c r="BL408" s="16"/>
      <c r="BM408" s="33"/>
      <c r="BN408" s="33"/>
      <c r="BO408" s="33"/>
      <c r="BP408" s="55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</row>
    <row r="409" spans="1:117" s="17" customFormat="1" ht="12" hidden="1" thickBot="1">
      <c r="A409" s="22"/>
      <c r="B409" s="61"/>
      <c r="C409" s="105"/>
      <c r="D409" s="105"/>
      <c r="E409" s="16"/>
      <c r="F409" s="16"/>
      <c r="G409" s="16"/>
      <c r="I409" s="16"/>
      <c r="J409" s="16"/>
      <c r="K409" s="16"/>
      <c r="L409" s="16"/>
      <c r="M409" s="18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9"/>
      <c r="AE409" s="16"/>
      <c r="AF409" s="16"/>
      <c r="AG409" s="16"/>
      <c r="AH409" s="16"/>
      <c r="AI409" s="16"/>
      <c r="AJ409" s="16"/>
      <c r="AK409" s="16"/>
      <c r="AL409" s="16"/>
      <c r="AM409" s="16"/>
      <c r="AN409" s="18"/>
      <c r="AO409" s="16"/>
      <c r="AP409" s="18"/>
      <c r="AQ409" s="16"/>
      <c r="AR409" s="16"/>
      <c r="AS409" s="16"/>
      <c r="AT409" s="16"/>
      <c r="AU409" s="16"/>
      <c r="AV409" s="16"/>
      <c r="AW409" s="16"/>
      <c r="AX409" s="16"/>
      <c r="AY409" s="16"/>
      <c r="AZ409" s="20"/>
      <c r="BA409" s="20"/>
      <c r="BB409" s="20"/>
      <c r="BC409" s="20"/>
      <c r="BD409" s="16"/>
      <c r="BE409" s="16"/>
      <c r="BF409" s="16"/>
      <c r="BG409" s="16"/>
      <c r="BH409" s="16"/>
      <c r="BI409" s="16"/>
      <c r="BJ409" s="16"/>
      <c r="BK409" s="16"/>
      <c r="BL409" s="16"/>
      <c r="BM409" s="33"/>
      <c r="BN409" s="33"/>
      <c r="BO409" s="33"/>
      <c r="BP409" s="55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</row>
    <row r="410" spans="1:117" s="17" customFormat="1" ht="12" hidden="1" thickBot="1">
      <c r="A410" s="22"/>
      <c r="B410" s="61"/>
      <c r="C410" s="105"/>
      <c r="D410" s="105"/>
      <c r="E410" s="16"/>
      <c r="F410" s="16"/>
      <c r="G410" s="16"/>
      <c r="I410" s="16"/>
      <c r="J410" s="16"/>
      <c r="K410" s="16"/>
      <c r="L410" s="16"/>
      <c r="M410" s="18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9"/>
      <c r="AE410" s="16"/>
      <c r="AF410" s="16"/>
      <c r="AG410" s="16"/>
      <c r="AH410" s="16"/>
      <c r="AI410" s="16"/>
      <c r="AJ410" s="16"/>
      <c r="AK410" s="16"/>
      <c r="AL410" s="16"/>
      <c r="AM410" s="16"/>
      <c r="AN410" s="18"/>
      <c r="AO410" s="16"/>
      <c r="AP410" s="18"/>
      <c r="AQ410" s="16"/>
      <c r="AR410" s="16"/>
      <c r="AS410" s="16"/>
      <c r="AT410" s="16"/>
      <c r="AU410" s="16"/>
      <c r="AV410" s="16"/>
      <c r="AW410" s="16"/>
      <c r="AX410" s="16"/>
      <c r="AY410" s="16"/>
      <c r="AZ410" s="20"/>
      <c r="BA410" s="20"/>
      <c r="BB410" s="20"/>
      <c r="BC410" s="20"/>
      <c r="BD410" s="16"/>
      <c r="BE410" s="16"/>
      <c r="BF410" s="16"/>
      <c r="BG410" s="16"/>
      <c r="BH410" s="16"/>
      <c r="BI410" s="16"/>
      <c r="BJ410" s="16"/>
      <c r="BK410" s="16"/>
      <c r="BL410" s="16"/>
      <c r="BM410" s="33"/>
      <c r="BN410" s="33"/>
      <c r="BO410" s="33"/>
      <c r="BP410" s="55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</row>
    <row r="411" spans="1:117" s="17" customFormat="1" ht="12" hidden="1" thickBot="1">
      <c r="A411" s="22"/>
      <c r="B411" s="61"/>
      <c r="C411" s="105"/>
      <c r="D411" s="105"/>
      <c r="E411" s="16"/>
      <c r="F411" s="16"/>
      <c r="G411" s="16"/>
      <c r="I411" s="16"/>
      <c r="J411" s="16"/>
      <c r="K411" s="16"/>
      <c r="L411" s="16"/>
      <c r="M411" s="18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9"/>
      <c r="AE411" s="16"/>
      <c r="AF411" s="16"/>
      <c r="AG411" s="16"/>
      <c r="AH411" s="16"/>
      <c r="AI411" s="16"/>
      <c r="AJ411" s="16"/>
      <c r="AK411" s="16"/>
      <c r="AL411" s="16"/>
      <c r="AM411" s="16"/>
      <c r="AN411" s="18"/>
      <c r="AO411" s="16"/>
      <c r="AP411" s="18"/>
      <c r="AQ411" s="16"/>
      <c r="AR411" s="16"/>
      <c r="AS411" s="16"/>
      <c r="AT411" s="16"/>
      <c r="AU411" s="16"/>
      <c r="AV411" s="16"/>
      <c r="AW411" s="16"/>
      <c r="AX411" s="16"/>
      <c r="AY411" s="16"/>
      <c r="AZ411" s="20"/>
      <c r="BA411" s="20"/>
      <c r="BB411" s="20"/>
      <c r="BC411" s="20"/>
      <c r="BD411" s="16"/>
      <c r="BE411" s="16"/>
      <c r="BF411" s="16"/>
      <c r="BG411" s="16"/>
      <c r="BH411" s="16"/>
      <c r="BI411" s="16"/>
      <c r="BJ411" s="16"/>
      <c r="BK411" s="16"/>
      <c r="BL411" s="16"/>
      <c r="BM411" s="33"/>
      <c r="BN411" s="33"/>
      <c r="BO411" s="33"/>
      <c r="BP411" s="55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</row>
    <row r="412" spans="1:117" s="17" customFormat="1" ht="12" hidden="1" thickBot="1">
      <c r="A412" s="22"/>
      <c r="B412" s="61"/>
      <c r="C412" s="105"/>
      <c r="D412" s="105"/>
      <c r="E412" s="16"/>
      <c r="F412" s="16"/>
      <c r="G412" s="16"/>
      <c r="I412" s="16"/>
      <c r="J412" s="16"/>
      <c r="K412" s="16"/>
      <c r="L412" s="16"/>
      <c r="M412" s="18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9"/>
      <c r="AE412" s="16"/>
      <c r="AF412" s="16"/>
      <c r="AG412" s="16"/>
      <c r="AH412" s="16"/>
      <c r="AI412" s="16"/>
      <c r="AJ412" s="16"/>
      <c r="AK412" s="16"/>
      <c r="AL412" s="16"/>
      <c r="AM412" s="16"/>
      <c r="AN412" s="18"/>
      <c r="AO412" s="16"/>
      <c r="AP412" s="18"/>
      <c r="AQ412" s="16"/>
      <c r="AR412" s="16"/>
      <c r="AS412" s="16"/>
      <c r="AT412" s="16"/>
      <c r="AU412" s="16"/>
      <c r="AV412" s="16"/>
      <c r="AW412" s="16"/>
      <c r="AX412" s="16"/>
      <c r="AY412" s="16"/>
      <c r="AZ412" s="20"/>
      <c r="BA412" s="20"/>
      <c r="BB412" s="20"/>
      <c r="BC412" s="20"/>
      <c r="BD412" s="16"/>
      <c r="BE412" s="16"/>
      <c r="BF412" s="16"/>
      <c r="BG412" s="16"/>
      <c r="BH412" s="16"/>
      <c r="BI412" s="16"/>
      <c r="BJ412" s="16"/>
      <c r="BK412" s="16"/>
      <c r="BL412" s="16"/>
      <c r="BM412" s="33"/>
      <c r="BN412" s="33"/>
      <c r="BO412" s="33"/>
      <c r="BP412" s="55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</row>
    <row r="413" spans="1:117" s="17" customFormat="1" ht="12" hidden="1" thickBot="1">
      <c r="A413" s="22"/>
      <c r="B413" s="61"/>
      <c r="C413" s="105"/>
      <c r="D413" s="105"/>
      <c r="E413" s="16"/>
      <c r="F413" s="16"/>
      <c r="G413" s="16"/>
      <c r="I413" s="16"/>
      <c r="J413" s="16"/>
      <c r="K413" s="16"/>
      <c r="L413" s="16"/>
      <c r="M413" s="18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9"/>
      <c r="AE413" s="16"/>
      <c r="AF413" s="16"/>
      <c r="AG413" s="16"/>
      <c r="AH413" s="16"/>
      <c r="AI413" s="16"/>
      <c r="AJ413" s="16"/>
      <c r="AK413" s="16"/>
      <c r="AL413" s="16"/>
      <c r="AM413" s="16"/>
      <c r="AN413" s="18"/>
      <c r="AO413" s="16"/>
      <c r="AP413" s="18"/>
      <c r="AQ413" s="16"/>
      <c r="AR413" s="16"/>
      <c r="AS413" s="16"/>
      <c r="AT413" s="16"/>
      <c r="AU413" s="16"/>
      <c r="AV413" s="16"/>
      <c r="AW413" s="16"/>
      <c r="AX413" s="16"/>
      <c r="AY413" s="16"/>
      <c r="AZ413" s="20"/>
      <c r="BA413" s="20"/>
      <c r="BB413" s="20"/>
      <c r="BC413" s="20"/>
      <c r="BD413" s="16"/>
      <c r="BE413" s="16"/>
      <c r="BF413" s="16"/>
      <c r="BG413" s="16"/>
      <c r="BH413" s="16"/>
      <c r="BI413" s="16"/>
      <c r="BJ413" s="16"/>
      <c r="BK413" s="16"/>
      <c r="BL413" s="16"/>
      <c r="BM413" s="33"/>
      <c r="BN413" s="33"/>
      <c r="BO413" s="33"/>
      <c r="BP413" s="55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</row>
    <row r="414" spans="1:117" s="17" customFormat="1" ht="12" hidden="1" thickBot="1">
      <c r="A414" s="22"/>
      <c r="B414" s="61"/>
      <c r="C414" s="105"/>
      <c r="D414" s="105"/>
      <c r="E414" s="16"/>
      <c r="F414" s="16"/>
      <c r="G414" s="16"/>
      <c r="I414" s="16"/>
      <c r="J414" s="16"/>
      <c r="K414" s="16"/>
      <c r="L414" s="16"/>
      <c r="M414" s="18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9"/>
      <c r="AE414" s="16"/>
      <c r="AF414" s="16"/>
      <c r="AG414" s="16"/>
      <c r="AH414" s="16"/>
      <c r="AI414" s="16"/>
      <c r="AJ414" s="16"/>
      <c r="AK414" s="16"/>
      <c r="AL414" s="16"/>
      <c r="AM414" s="16"/>
      <c r="AN414" s="18"/>
      <c r="AO414" s="16"/>
      <c r="AP414" s="18"/>
      <c r="AQ414" s="16"/>
      <c r="AR414" s="16"/>
      <c r="AS414" s="16"/>
      <c r="AT414" s="16"/>
      <c r="AU414" s="16"/>
      <c r="AV414" s="16"/>
      <c r="AW414" s="16"/>
      <c r="AX414" s="16"/>
      <c r="AY414" s="16"/>
      <c r="AZ414" s="20"/>
      <c r="BA414" s="20"/>
      <c r="BB414" s="20"/>
      <c r="BC414" s="20"/>
      <c r="BD414" s="16"/>
      <c r="BE414" s="16"/>
      <c r="BF414" s="16"/>
      <c r="BG414" s="16"/>
      <c r="BH414" s="16"/>
      <c r="BI414" s="16"/>
      <c r="BJ414" s="16"/>
      <c r="BK414" s="16"/>
      <c r="BL414" s="16"/>
      <c r="BM414" s="33"/>
      <c r="BN414" s="33"/>
      <c r="BO414" s="33"/>
      <c r="BP414" s="55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</row>
    <row r="415" spans="1:117" s="17" customFormat="1" ht="12" hidden="1" thickBot="1">
      <c r="A415" s="22"/>
      <c r="B415" s="61"/>
      <c r="C415" s="105"/>
      <c r="D415" s="105"/>
      <c r="E415" s="16"/>
      <c r="F415" s="16"/>
      <c r="G415" s="16"/>
      <c r="I415" s="16"/>
      <c r="J415" s="16"/>
      <c r="K415" s="16"/>
      <c r="L415" s="16"/>
      <c r="M415" s="18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9"/>
      <c r="AE415" s="16"/>
      <c r="AF415" s="16"/>
      <c r="AG415" s="16"/>
      <c r="AH415" s="16"/>
      <c r="AI415" s="16"/>
      <c r="AJ415" s="16"/>
      <c r="AK415" s="16"/>
      <c r="AL415" s="16"/>
      <c r="AM415" s="16"/>
      <c r="AN415" s="18"/>
      <c r="AO415" s="16"/>
      <c r="AP415" s="18"/>
      <c r="AQ415" s="16"/>
      <c r="AR415" s="16"/>
      <c r="AS415" s="16"/>
      <c r="AT415" s="16"/>
      <c r="AU415" s="16"/>
      <c r="AV415" s="16"/>
      <c r="AW415" s="16"/>
      <c r="AX415" s="16"/>
      <c r="AY415" s="16"/>
      <c r="AZ415" s="20"/>
      <c r="BA415" s="20"/>
      <c r="BB415" s="20"/>
      <c r="BC415" s="20"/>
      <c r="BD415" s="16"/>
      <c r="BE415" s="16"/>
      <c r="BF415" s="16"/>
      <c r="BG415" s="16"/>
      <c r="BH415" s="16"/>
      <c r="BI415" s="16"/>
      <c r="BJ415" s="16"/>
      <c r="BK415" s="16"/>
      <c r="BL415" s="16"/>
      <c r="BM415" s="33"/>
      <c r="BN415" s="33"/>
      <c r="BO415" s="33"/>
      <c r="BP415" s="55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</row>
    <row r="416" spans="1:117" s="17" customFormat="1" ht="12" hidden="1" thickBot="1">
      <c r="A416" s="22"/>
      <c r="B416" s="61"/>
      <c r="C416" s="105"/>
      <c r="D416" s="105"/>
      <c r="E416" s="16"/>
      <c r="F416" s="16"/>
      <c r="G416" s="16"/>
      <c r="I416" s="16"/>
      <c r="J416" s="16"/>
      <c r="K416" s="16"/>
      <c r="L416" s="16"/>
      <c r="M416" s="18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9"/>
      <c r="AE416" s="16"/>
      <c r="AF416" s="16"/>
      <c r="AG416" s="16"/>
      <c r="AH416" s="16"/>
      <c r="AI416" s="16"/>
      <c r="AJ416" s="16"/>
      <c r="AK416" s="16"/>
      <c r="AL416" s="16"/>
      <c r="AM416" s="16"/>
      <c r="AN416" s="18"/>
      <c r="AO416" s="16"/>
      <c r="AP416" s="18"/>
      <c r="AQ416" s="16"/>
      <c r="AR416" s="16"/>
      <c r="AS416" s="16"/>
      <c r="AT416" s="16"/>
      <c r="AU416" s="16"/>
      <c r="AV416" s="16"/>
      <c r="AW416" s="16"/>
      <c r="AX416" s="16"/>
      <c r="AY416" s="16"/>
      <c r="AZ416" s="20"/>
      <c r="BA416" s="20"/>
      <c r="BB416" s="20"/>
      <c r="BC416" s="20"/>
      <c r="BD416" s="16"/>
      <c r="BE416" s="16"/>
      <c r="BF416" s="16"/>
      <c r="BG416" s="16"/>
      <c r="BH416" s="16"/>
      <c r="BI416" s="16"/>
      <c r="BJ416" s="16"/>
      <c r="BK416" s="16"/>
      <c r="BL416" s="16"/>
      <c r="BM416" s="33"/>
      <c r="BN416" s="33"/>
      <c r="BO416" s="33"/>
      <c r="BP416" s="55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</row>
    <row r="417" spans="1:117" s="17" customFormat="1" ht="12" hidden="1" thickBot="1">
      <c r="A417" s="22"/>
      <c r="B417" s="61"/>
      <c r="C417" s="105"/>
      <c r="D417" s="105"/>
      <c r="E417" s="16"/>
      <c r="F417" s="16"/>
      <c r="G417" s="16"/>
      <c r="I417" s="16"/>
      <c r="J417" s="16"/>
      <c r="K417" s="16"/>
      <c r="L417" s="16"/>
      <c r="M417" s="18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9"/>
      <c r="AE417" s="16"/>
      <c r="AF417" s="16"/>
      <c r="AG417" s="16"/>
      <c r="AH417" s="16"/>
      <c r="AI417" s="16"/>
      <c r="AJ417" s="16"/>
      <c r="AK417" s="16"/>
      <c r="AL417" s="16"/>
      <c r="AM417" s="16"/>
      <c r="AN417" s="18"/>
      <c r="AO417" s="16"/>
      <c r="AP417" s="18"/>
      <c r="AQ417" s="16"/>
      <c r="AR417" s="16"/>
      <c r="AS417" s="16"/>
      <c r="AT417" s="16"/>
      <c r="AU417" s="16"/>
      <c r="AV417" s="16"/>
      <c r="AW417" s="16"/>
      <c r="AX417" s="16"/>
      <c r="AY417" s="16"/>
      <c r="AZ417" s="20"/>
      <c r="BA417" s="20"/>
      <c r="BB417" s="20"/>
      <c r="BC417" s="20"/>
      <c r="BD417" s="16"/>
      <c r="BE417" s="16"/>
      <c r="BF417" s="16"/>
      <c r="BG417" s="16"/>
      <c r="BH417" s="16"/>
      <c r="BI417" s="16"/>
      <c r="BJ417" s="16"/>
      <c r="BK417" s="16"/>
      <c r="BL417" s="16"/>
      <c r="BM417" s="33"/>
      <c r="BN417" s="33"/>
      <c r="BO417" s="33"/>
      <c r="BP417" s="55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</row>
    <row r="418" spans="1:117" s="17" customFormat="1" ht="12" hidden="1" thickBot="1">
      <c r="A418" s="22"/>
      <c r="B418" s="61"/>
      <c r="C418" s="105"/>
      <c r="D418" s="105"/>
      <c r="E418" s="16"/>
      <c r="F418" s="16"/>
      <c r="G418" s="16"/>
      <c r="I418" s="16"/>
      <c r="J418" s="16"/>
      <c r="K418" s="16"/>
      <c r="L418" s="16"/>
      <c r="M418" s="18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9"/>
      <c r="AE418" s="16"/>
      <c r="AF418" s="16"/>
      <c r="AG418" s="16"/>
      <c r="AH418" s="16"/>
      <c r="AI418" s="16"/>
      <c r="AJ418" s="16"/>
      <c r="AK418" s="16"/>
      <c r="AL418" s="16"/>
      <c r="AM418" s="16"/>
      <c r="AN418" s="18"/>
      <c r="AO418" s="16"/>
      <c r="AP418" s="18"/>
      <c r="AQ418" s="16"/>
      <c r="AR418" s="16"/>
      <c r="AS418" s="16"/>
      <c r="AT418" s="16"/>
      <c r="AU418" s="16"/>
      <c r="AV418" s="16"/>
      <c r="AW418" s="16"/>
      <c r="AX418" s="16"/>
      <c r="AY418" s="16"/>
      <c r="AZ418" s="20"/>
      <c r="BA418" s="20"/>
      <c r="BB418" s="20"/>
      <c r="BC418" s="20"/>
      <c r="BD418" s="16"/>
      <c r="BE418" s="16"/>
      <c r="BF418" s="16"/>
      <c r="BG418" s="16"/>
      <c r="BH418" s="16"/>
      <c r="BI418" s="16"/>
      <c r="BJ418" s="16"/>
      <c r="BK418" s="16"/>
      <c r="BL418" s="16"/>
      <c r="BM418" s="33"/>
      <c r="BN418" s="33"/>
      <c r="BO418" s="33"/>
      <c r="BP418" s="55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</row>
    <row r="419" spans="1:117" s="17" customFormat="1" ht="12" hidden="1" thickBot="1">
      <c r="A419" s="22"/>
      <c r="B419" s="61"/>
      <c r="C419" s="105"/>
      <c r="D419" s="105"/>
      <c r="E419" s="16"/>
      <c r="F419" s="16"/>
      <c r="G419" s="16"/>
      <c r="I419" s="16"/>
      <c r="J419" s="16"/>
      <c r="K419" s="16"/>
      <c r="L419" s="16"/>
      <c r="M419" s="18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9"/>
      <c r="AE419" s="16"/>
      <c r="AF419" s="16"/>
      <c r="AG419" s="16"/>
      <c r="AH419" s="16"/>
      <c r="AI419" s="16"/>
      <c r="AJ419" s="16"/>
      <c r="AK419" s="16"/>
      <c r="AL419" s="16"/>
      <c r="AM419" s="16"/>
      <c r="AN419" s="18"/>
      <c r="AO419" s="16"/>
      <c r="AP419" s="18"/>
      <c r="AQ419" s="16"/>
      <c r="AR419" s="16"/>
      <c r="AS419" s="16"/>
      <c r="AT419" s="16"/>
      <c r="AU419" s="16"/>
      <c r="AV419" s="16"/>
      <c r="AW419" s="16"/>
      <c r="AX419" s="16"/>
      <c r="AY419" s="16"/>
      <c r="AZ419" s="20"/>
      <c r="BA419" s="20"/>
      <c r="BB419" s="20"/>
      <c r="BC419" s="20"/>
      <c r="BD419" s="16"/>
      <c r="BE419" s="16"/>
      <c r="BF419" s="16"/>
      <c r="BG419" s="16"/>
      <c r="BH419" s="16"/>
      <c r="BI419" s="16"/>
      <c r="BJ419" s="16"/>
      <c r="BK419" s="16"/>
      <c r="BL419" s="16"/>
      <c r="BM419" s="33"/>
      <c r="BN419" s="33"/>
      <c r="BO419" s="33"/>
      <c r="BP419" s="55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</row>
    <row r="420" spans="1:117" s="17" customFormat="1" ht="12" hidden="1" thickBot="1">
      <c r="A420" s="22"/>
      <c r="B420" s="61"/>
      <c r="C420" s="105"/>
      <c r="D420" s="105"/>
      <c r="E420" s="16"/>
      <c r="F420" s="16"/>
      <c r="G420" s="16"/>
      <c r="I420" s="16"/>
      <c r="J420" s="16"/>
      <c r="K420" s="16"/>
      <c r="L420" s="16"/>
      <c r="M420" s="18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9"/>
      <c r="AE420" s="16"/>
      <c r="AF420" s="16"/>
      <c r="AG420" s="16"/>
      <c r="AH420" s="16"/>
      <c r="AI420" s="16"/>
      <c r="AJ420" s="16"/>
      <c r="AK420" s="16"/>
      <c r="AL420" s="16"/>
      <c r="AM420" s="16"/>
      <c r="AN420" s="18"/>
      <c r="AO420" s="16"/>
      <c r="AP420" s="18"/>
      <c r="AQ420" s="16"/>
      <c r="AR420" s="16"/>
      <c r="AS420" s="16"/>
      <c r="AT420" s="16"/>
      <c r="AU420" s="16"/>
      <c r="AV420" s="16"/>
      <c r="AW420" s="16"/>
      <c r="AX420" s="16"/>
      <c r="AY420" s="16"/>
      <c r="AZ420" s="20"/>
      <c r="BA420" s="20"/>
      <c r="BB420" s="20"/>
      <c r="BC420" s="20"/>
      <c r="BD420" s="16"/>
      <c r="BE420" s="16"/>
      <c r="BF420" s="16"/>
      <c r="BG420" s="16"/>
      <c r="BH420" s="16"/>
      <c r="BI420" s="16"/>
      <c r="BJ420" s="16"/>
      <c r="BK420" s="16"/>
      <c r="BL420" s="16"/>
      <c r="BM420" s="33"/>
      <c r="BN420" s="33"/>
      <c r="BO420" s="33"/>
      <c r="BP420" s="55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</row>
    <row r="421" spans="1:117" s="17" customFormat="1" ht="12" hidden="1" thickBot="1">
      <c r="A421" s="22"/>
      <c r="B421" s="61"/>
      <c r="C421" s="105"/>
      <c r="D421" s="105"/>
      <c r="E421" s="16"/>
      <c r="F421" s="16"/>
      <c r="G421" s="16"/>
      <c r="I421" s="16"/>
      <c r="J421" s="16"/>
      <c r="K421" s="16"/>
      <c r="L421" s="16"/>
      <c r="M421" s="18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9"/>
      <c r="AE421" s="16"/>
      <c r="AF421" s="16"/>
      <c r="AG421" s="16"/>
      <c r="AH421" s="16"/>
      <c r="AI421" s="16"/>
      <c r="AJ421" s="16"/>
      <c r="AK421" s="16"/>
      <c r="AL421" s="16"/>
      <c r="AM421" s="16"/>
      <c r="AN421" s="18"/>
      <c r="AO421" s="16"/>
      <c r="AP421" s="18"/>
      <c r="AQ421" s="16"/>
      <c r="AR421" s="16"/>
      <c r="AS421" s="16"/>
      <c r="AT421" s="16"/>
      <c r="AU421" s="16"/>
      <c r="AV421" s="16"/>
      <c r="AW421" s="16"/>
      <c r="AX421" s="16"/>
      <c r="AY421" s="16"/>
      <c r="AZ421" s="20"/>
      <c r="BA421" s="20"/>
      <c r="BB421" s="20"/>
      <c r="BC421" s="20"/>
      <c r="BD421" s="16"/>
      <c r="BE421" s="16"/>
      <c r="BF421" s="16"/>
      <c r="BG421" s="16"/>
      <c r="BH421" s="16"/>
      <c r="BI421" s="16"/>
      <c r="BJ421" s="16"/>
      <c r="BK421" s="16"/>
      <c r="BL421" s="16"/>
      <c r="BM421" s="33"/>
      <c r="BN421" s="33"/>
      <c r="BO421" s="33"/>
      <c r="BP421" s="55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</row>
    <row r="422" spans="1:117" s="17" customFormat="1" ht="12" hidden="1" thickBot="1">
      <c r="A422" s="22"/>
      <c r="B422" s="61"/>
      <c r="C422" s="105"/>
      <c r="D422" s="105"/>
      <c r="E422" s="16"/>
      <c r="F422" s="16"/>
      <c r="G422" s="16"/>
      <c r="I422" s="16"/>
      <c r="J422" s="16"/>
      <c r="K422" s="16"/>
      <c r="L422" s="16"/>
      <c r="M422" s="18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9"/>
      <c r="AE422" s="16"/>
      <c r="AF422" s="16"/>
      <c r="AG422" s="16"/>
      <c r="AH422" s="16"/>
      <c r="AI422" s="16"/>
      <c r="AJ422" s="16"/>
      <c r="AK422" s="16"/>
      <c r="AL422" s="16"/>
      <c r="AM422" s="16"/>
      <c r="AN422" s="18"/>
      <c r="AO422" s="16"/>
      <c r="AP422" s="18"/>
      <c r="AQ422" s="16"/>
      <c r="AR422" s="16"/>
      <c r="AS422" s="16"/>
      <c r="AT422" s="16"/>
      <c r="AU422" s="16"/>
      <c r="AV422" s="16"/>
      <c r="AW422" s="16"/>
      <c r="AX422" s="16"/>
      <c r="AY422" s="16"/>
      <c r="AZ422" s="20"/>
      <c r="BA422" s="20"/>
      <c r="BB422" s="20"/>
      <c r="BC422" s="20"/>
      <c r="BD422" s="16"/>
      <c r="BE422" s="16"/>
      <c r="BF422" s="16"/>
      <c r="BG422" s="16"/>
      <c r="BH422" s="16"/>
      <c r="BI422" s="16"/>
      <c r="BJ422" s="16"/>
      <c r="BK422" s="16"/>
      <c r="BL422" s="16"/>
      <c r="BM422" s="33"/>
      <c r="BN422" s="33"/>
      <c r="BO422" s="33"/>
      <c r="BP422" s="55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</row>
    <row r="423" spans="1:117" s="17" customFormat="1" ht="12" hidden="1" thickBot="1">
      <c r="A423" s="22"/>
      <c r="B423" s="61"/>
      <c r="C423" s="105"/>
      <c r="D423" s="105"/>
      <c r="E423" s="16"/>
      <c r="F423" s="16"/>
      <c r="G423" s="16"/>
      <c r="I423" s="16"/>
      <c r="J423" s="16"/>
      <c r="K423" s="16"/>
      <c r="L423" s="16"/>
      <c r="M423" s="18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9"/>
      <c r="AE423" s="16"/>
      <c r="AF423" s="16"/>
      <c r="AG423" s="16"/>
      <c r="AH423" s="16"/>
      <c r="AI423" s="16"/>
      <c r="AJ423" s="16"/>
      <c r="AK423" s="16"/>
      <c r="AL423" s="16"/>
      <c r="AM423" s="16"/>
      <c r="AN423" s="18"/>
      <c r="AO423" s="16"/>
      <c r="AP423" s="18"/>
      <c r="AQ423" s="16"/>
      <c r="AR423" s="16"/>
      <c r="AS423" s="16"/>
      <c r="AT423" s="16"/>
      <c r="AU423" s="16"/>
      <c r="AV423" s="16"/>
      <c r="AW423" s="16"/>
      <c r="AX423" s="16"/>
      <c r="AY423" s="16"/>
      <c r="AZ423" s="20"/>
      <c r="BA423" s="20"/>
      <c r="BB423" s="20"/>
      <c r="BC423" s="20"/>
      <c r="BD423" s="16"/>
      <c r="BE423" s="16"/>
      <c r="BF423" s="16"/>
      <c r="BG423" s="16"/>
      <c r="BH423" s="16"/>
      <c r="BI423" s="16"/>
      <c r="BJ423" s="16"/>
      <c r="BK423" s="16"/>
      <c r="BL423" s="16"/>
      <c r="BM423" s="33"/>
      <c r="BN423" s="33"/>
      <c r="BO423" s="33"/>
      <c r="BP423" s="55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</row>
    <row r="424" spans="1:117" s="17" customFormat="1" ht="12" hidden="1" thickBot="1">
      <c r="A424" s="22"/>
      <c r="B424" s="61"/>
      <c r="C424" s="105"/>
      <c r="D424" s="105"/>
      <c r="E424" s="16"/>
      <c r="F424" s="16"/>
      <c r="G424" s="16"/>
      <c r="I424" s="16"/>
      <c r="J424" s="16"/>
      <c r="K424" s="16"/>
      <c r="L424" s="16"/>
      <c r="M424" s="18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9"/>
      <c r="AE424" s="16"/>
      <c r="AF424" s="16"/>
      <c r="AG424" s="16"/>
      <c r="AH424" s="16"/>
      <c r="AI424" s="16"/>
      <c r="AJ424" s="16"/>
      <c r="AK424" s="16"/>
      <c r="AL424" s="16"/>
      <c r="AM424" s="16"/>
      <c r="AN424" s="18"/>
      <c r="AO424" s="16"/>
      <c r="AP424" s="18"/>
      <c r="AQ424" s="16"/>
      <c r="AR424" s="16"/>
      <c r="AS424" s="16"/>
      <c r="AT424" s="16"/>
      <c r="AU424" s="16"/>
      <c r="AV424" s="16"/>
      <c r="AW424" s="16"/>
      <c r="AX424" s="16"/>
      <c r="AY424" s="16"/>
      <c r="AZ424" s="20"/>
      <c r="BA424" s="20"/>
      <c r="BB424" s="20"/>
      <c r="BC424" s="20"/>
      <c r="BD424" s="16"/>
      <c r="BE424" s="16"/>
      <c r="BF424" s="16"/>
      <c r="BG424" s="16"/>
      <c r="BH424" s="16"/>
      <c r="BI424" s="16"/>
      <c r="BJ424" s="16"/>
      <c r="BK424" s="16"/>
      <c r="BL424" s="16"/>
      <c r="BM424" s="33"/>
      <c r="BN424" s="33"/>
      <c r="BO424" s="33"/>
      <c r="BP424" s="55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</row>
    <row r="425" spans="1:117" s="17" customFormat="1" ht="12" hidden="1" thickBot="1">
      <c r="A425" s="22"/>
      <c r="B425" s="61"/>
      <c r="C425" s="105"/>
      <c r="D425" s="105"/>
      <c r="E425" s="16"/>
      <c r="F425" s="16"/>
      <c r="G425" s="16"/>
      <c r="I425" s="16"/>
      <c r="J425" s="16"/>
      <c r="K425" s="16"/>
      <c r="L425" s="16"/>
      <c r="M425" s="18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9"/>
      <c r="AE425" s="16"/>
      <c r="AF425" s="16"/>
      <c r="AG425" s="16"/>
      <c r="AH425" s="16"/>
      <c r="AI425" s="16"/>
      <c r="AJ425" s="16"/>
      <c r="AK425" s="16"/>
      <c r="AL425" s="16"/>
      <c r="AM425" s="16"/>
      <c r="AN425" s="18"/>
      <c r="AO425" s="16"/>
      <c r="AP425" s="18"/>
      <c r="AQ425" s="16"/>
      <c r="AR425" s="16"/>
      <c r="AS425" s="16"/>
      <c r="AT425" s="16"/>
      <c r="AU425" s="16"/>
      <c r="AV425" s="16"/>
      <c r="AW425" s="16"/>
      <c r="AX425" s="16"/>
      <c r="AY425" s="16"/>
      <c r="AZ425" s="20"/>
      <c r="BA425" s="20"/>
      <c r="BB425" s="20"/>
      <c r="BC425" s="20"/>
      <c r="BD425" s="16"/>
      <c r="BE425" s="16"/>
      <c r="BF425" s="16"/>
      <c r="BG425" s="16"/>
      <c r="BH425" s="16"/>
      <c r="BI425" s="16"/>
      <c r="BJ425" s="16"/>
      <c r="BK425" s="16"/>
      <c r="BL425" s="16"/>
      <c r="BM425" s="33"/>
      <c r="BN425" s="33"/>
      <c r="BO425" s="33"/>
      <c r="BP425" s="55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</row>
    <row r="426" spans="1:117" s="17" customFormat="1" ht="12" hidden="1" thickBot="1">
      <c r="A426" s="22"/>
      <c r="B426" s="61"/>
      <c r="C426" s="105"/>
      <c r="D426" s="105"/>
      <c r="E426" s="16"/>
      <c r="F426" s="16"/>
      <c r="G426" s="16"/>
      <c r="I426" s="16"/>
      <c r="J426" s="16"/>
      <c r="K426" s="16"/>
      <c r="L426" s="16"/>
      <c r="M426" s="18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9"/>
      <c r="AE426" s="16"/>
      <c r="AF426" s="16"/>
      <c r="AG426" s="16"/>
      <c r="AH426" s="16"/>
      <c r="AI426" s="16"/>
      <c r="AJ426" s="16"/>
      <c r="AK426" s="16"/>
      <c r="AL426" s="16"/>
      <c r="AM426" s="16"/>
      <c r="AN426" s="18"/>
      <c r="AO426" s="16"/>
      <c r="AP426" s="18"/>
      <c r="AQ426" s="16"/>
      <c r="AR426" s="16"/>
      <c r="AS426" s="16"/>
      <c r="AT426" s="16"/>
      <c r="AU426" s="16"/>
      <c r="AV426" s="16"/>
      <c r="AW426" s="16"/>
      <c r="AX426" s="16"/>
      <c r="AY426" s="16"/>
      <c r="AZ426" s="20"/>
      <c r="BA426" s="20"/>
      <c r="BB426" s="20"/>
      <c r="BC426" s="20"/>
      <c r="BD426" s="16"/>
      <c r="BE426" s="16"/>
      <c r="BF426" s="16"/>
      <c r="BG426" s="16"/>
      <c r="BH426" s="16"/>
      <c r="BI426" s="16"/>
      <c r="BJ426" s="16"/>
      <c r="BK426" s="16"/>
      <c r="BL426" s="16"/>
      <c r="BM426" s="33"/>
      <c r="BN426" s="33"/>
      <c r="BO426" s="33"/>
      <c r="BP426" s="55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</row>
    <row r="427" spans="1:117" s="17" customFormat="1" ht="12" hidden="1" thickBot="1">
      <c r="A427" s="22"/>
      <c r="B427" s="61"/>
      <c r="C427" s="105"/>
      <c r="D427" s="105"/>
      <c r="E427" s="16"/>
      <c r="F427" s="16"/>
      <c r="G427" s="16"/>
      <c r="I427" s="16"/>
      <c r="J427" s="16"/>
      <c r="K427" s="16"/>
      <c r="L427" s="16"/>
      <c r="M427" s="18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9"/>
      <c r="AE427" s="16"/>
      <c r="AF427" s="16"/>
      <c r="AG427" s="16"/>
      <c r="AH427" s="16"/>
      <c r="AI427" s="16"/>
      <c r="AJ427" s="16"/>
      <c r="AK427" s="16"/>
      <c r="AL427" s="16"/>
      <c r="AM427" s="16"/>
      <c r="AN427" s="18"/>
      <c r="AO427" s="16"/>
      <c r="AP427" s="18"/>
      <c r="AQ427" s="16"/>
      <c r="AR427" s="16"/>
      <c r="AS427" s="16"/>
      <c r="AT427" s="16"/>
      <c r="AU427" s="16"/>
      <c r="AV427" s="16"/>
      <c r="AW427" s="16"/>
      <c r="AX427" s="16"/>
      <c r="AY427" s="16"/>
      <c r="AZ427" s="20"/>
      <c r="BA427" s="20"/>
      <c r="BB427" s="20"/>
      <c r="BC427" s="20"/>
      <c r="BD427" s="16"/>
      <c r="BE427" s="16"/>
      <c r="BF427" s="16"/>
      <c r="BG427" s="16"/>
      <c r="BH427" s="16"/>
      <c r="BI427" s="16"/>
      <c r="BJ427" s="16"/>
      <c r="BK427" s="16"/>
      <c r="BL427" s="16"/>
      <c r="BM427" s="33"/>
      <c r="BN427" s="33"/>
      <c r="BO427" s="33"/>
      <c r="BP427" s="55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</row>
    <row r="428" spans="1:117" s="17" customFormat="1" ht="12" hidden="1" thickBot="1">
      <c r="A428" s="22"/>
      <c r="B428" s="61"/>
      <c r="C428" s="105"/>
      <c r="D428" s="105"/>
      <c r="E428" s="16"/>
      <c r="F428" s="16"/>
      <c r="G428" s="16"/>
      <c r="I428" s="16"/>
      <c r="J428" s="16"/>
      <c r="K428" s="16"/>
      <c r="L428" s="16"/>
      <c r="M428" s="18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9"/>
      <c r="AE428" s="16"/>
      <c r="AF428" s="16"/>
      <c r="AG428" s="16"/>
      <c r="AH428" s="16"/>
      <c r="AI428" s="16"/>
      <c r="AJ428" s="16"/>
      <c r="AK428" s="16"/>
      <c r="AL428" s="16"/>
      <c r="AM428" s="16"/>
      <c r="AN428" s="18"/>
      <c r="AO428" s="16"/>
      <c r="AP428" s="18"/>
      <c r="AQ428" s="16"/>
      <c r="AR428" s="16"/>
      <c r="AS428" s="16"/>
      <c r="AT428" s="16"/>
      <c r="AU428" s="16"/>
      <c r="AV428" s="16"/>
      <c r="AW428" s="16"/>
      <c r="AX428" s="16"/>
      <c r="AY428" s="16"/>
      <c r="AZ428" s="20"/>
      <c r="BA428" s="20"/>
      <c r="BB428" s="20"/>
      <c r="BC428" s="20"/>
      <c r="BD428" s="16"/>
      <c r="BE428" s="16"/>
      <c r="BF428" s="16"/>
      <c r="BG428" s="16"/>
      <c r="BH428" s="16"/>
      <c r="BI428" s="16"/>
      <c r="BJ428" s="16"/>
      <c r="BK428" s="16"/>
      <c r="BL428" s="16"/>
      <c r="BM428" s="33"/>
      <c r="BN428" s="33"/>
      <c r="BO428" s="33"/>
      <c r="BP428" s="55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</row>
    <row r="429" spans="1:117" s="17" customFormat="1" ht="12" hidden="1" thickBot="1">
      <c r="A429" s="22"/>
      <c r="B429" s="61"/>
      <c r="C429" s="105"/>
      <c r="D429" s="105"/>
      <c r="E429" s="16"/>
      <c r="F429" s="16"/>
      <c r="G429" s="16"/>
      <c r="I429" s="16"/>
      <c r="J429" s="16"/>
      <c r="K429" s="16"/>
      <c r="L429" s="16"/>
      <c r="M429" s="18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9"/>
      <c r="AE429" s="16"/>
      <c r="AF429" s="16"/>
      <c r="AG429" s="16"/>
      <c r="AH429" s="16"/>
      <c r="AI429" s="16"/>
      <c r="AJ429" s="16"/>
      <c r="AK429" s="16"/>
      <c r="AL429" s="16"/>
      <c r="AM429" s="16"/>
      <c r="AN429" s="18"/>
      <c r="AO429" s="16"/>
      <c r="AP429" s="18"/>
      <c r="AQ429" s="16"/>
      <c r="AR429" s="16"/>
      <c r="AS429" s="16"/>
      <c r="AT429" s="16"/>
      <c r="AU429" s="16"/>
      <c r="AV429" s="16"/>
      <c r="AW429" s="16"/>
      <c r="AX429" s="16"/>
      <c r="AY429" s="16"/>
      <c r="AZ429" s="20"/>
      <c r="BA429" s="20"/>
      <c r="BB429" s="20"/>
      <c r="BC429" s="20"/>
      <c r="BD429" s="16"/>
      <c r="BE429" s="16"/>
      <c r="BF429" s="16"/>
      <c r="BG429" s="16"/>
      <c r="BH429" s="16"/>
      <c r="BI429" s="16"/>
      <c r="BJ429" s="16"/>
      <c r="BK429" s="16"/>
      <c r="BL429" s="16"/>
      <c r="BM429" s="33"/>
      <c r="BN429" s="33"/>
      <c r="BO429" s="33"/>
      <c r="BP429" s="55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</row>
    <row r="430" spans="1:117" s="17" customFormat="1" ht="12" hidden="1" thickBot="1">
      <c r="A430" s="22"/>
      <c r="B430" s="61"/>
      <c r="C430" s="105"/>
      <c r="D430" s="105"/>
      <c r="E430" s="16"/>
      <c r="F430" s="16"/>
      <c r="G430" s="16"/>
      <c r="I430" s="16"/>
      <c r="J430" s="16"/>
      <c r="K430" s="16"/>
      <c r="L430" s="16"/>
      <c r="M430" s="18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9"/>
      <c r="AE430" s="16"/>
      <c r="AF430" s="16"/>
      <c r="AG430" s="16"/>
      <c r="AH430" s="16"/>
      <c r="AI430" s="16"/>
      <c r="AJ430" s="16"/>
      <c r="AK430" s="16"/>
      <c r="AL430" s="16"/>
      <c r="AM430" s="16"/>
      <c r="AN430" s="18"/>
      <c r="AO430" s="16"/>
      <c r="AP430" s="18"/>
      <c r="AQ430" s="16"/>
      <c r="AR430" s="16"/>
      <c r="AS430" s="16"/>
      <c r="AT430" s="16"/>
      <c r="AU430" s="16"/>
      <c r="AV430" s="16"/>
      <c r="AW430" s="16"/>
      <c r="AX430" s="16"/>
      <c r="AY430" s="16"/>
      <c r="AZ430" s="20"/>
      <c r="BA430" s="20"/>
      <c r="BB430" s="20"/>
      <c r="BC430" s="20"/>
      <c r="BD430" s="16"/>
      <c r="BE430" s="16"/>
      <c r="BF430" s="16"/>
      <c r="BG430" s="16"/>
      <c r="BH430" s="16"/>
      <c r="BI430" s="16"/>
      <c r="BJ430" s="16"/>
      <c r="BK430" s="16"/>
      <c r="BL430" s="16"/>
      <c r="BM430" s="33"/>
      <c r="BN430" s="33"/>
      <c r="BO430" s="33"/>
      <c r="BP430" s="55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</row>
    <row r="431" spans="1:117" s="17" customFormat="1" ht="12" hidden="1" thickBot="1">
      <c r="A431" s="22"/>
      <c r="B431" s="61"/>
      <c r="C431" s="105"/>
      <c r="D431" s="105"/>
      <c r="E431" s="16"/>
      <c r="F431" s="16"/>
      <c r="G431" s="16"/>
      <c r="I431" s="16"/>
      <c r="J431" s="16"/>
      <c r="K431" s="16"/>
      <c r="L431" s="16"/>
      <c r="M431" s="18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9"/>
      <c r="AE431" s="16"/>
      <c r="AF431" s="16"/>
      <c r="AG431" s="16"/>
      <c r="AH431" s="16"/>
      <c r="AI431" s="16"/>
      <c r="AJ431" s="16"/>
      <c r="AK431" s="16"/>
      <c r="AL431" s="16"/>
      <c r="AM431" s="16"/>
      <c r="AN431" s="18"/>
      <c r="AO431" s="16"/>
      <c r="AP431" s="18"/>
      <c r="AQ431" s="16"/>
      <c r="AR431" s="16"/>
      <c r="AS431" s="16"/>
      <c r="AT431" s="16"/>
      <c r="AU431" s="16"/>
      <c r="AV431" s="16"/>
      <c r="AW431" s="16"/>
      <c r="AX431" s="16"/>
      <c r="AY431" s="16"/>
      <c r="AZ431" s="20"/>
      <c r="BA431" s="20"/>
      <c r="BB431" s="20"/>
      <c r="BC431" s="20"/>
      <c r="BD431" s="16"/>
      <c r="BE431" s="16"/>
      <c r="BF431" s="16"/>
      <c r="BG431" s="16"/>
      <c r="BH431" s="16"/>
      <c r="BI431" s="16"/>
      <c r="BJ431" s="16"/>
      <c r="BK431" s="16"/>
      <c r="BL431" s="16"/>
      <c r="BM431" s="33"/>
      <c r="BN431" s="33"/>
      <c r="BO431" s="33"/>
      <c r="BP431" s="55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</row>
    <row r="432" spans="1:117" s="17" customFormat="1" ht="12" hidden="1" thickBot="1">
      <c r="A432" s="22"/>
      <c r="B432" s="61"/>
      <c r="C432" s="105"/>
      <c r="D432" s="105"/>
      <c r="E432" s="16"/>
      <c r="F432" s="16"/>
      <c r="G432" s="16"/>
      <c r="I432" s="16"/>
      <c r="J432" s="16"/>
      <c r="K432" s="16"/>
      <c r="L432" s="16"/>
      <c r="M432" s="18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9"/>
      <c r="AE432" s="16"/>
      <c r="AF432" s="16"/>
      <c r="AG432" s="16"/>
      <c r="AH432" s="16"/>
      <c r="AI432" s="16"/>
      <c r="AJ432" s="16"/>
      <c r="AK432" s="16"/>
      <c r="AL432" s="16"/>
      <c r="AM432" s="16"/>
      <c r="AN432" s="18"/>
      <c r="AO432" s="16"/>
      <c r="AP432" s="18"/>
      <c r="AQ432" s="16"/>
      <c r="AR432" s="16"/>
      <c r="AS432" s="16"/>
      <c r="AT432" s="16"/>
      <c r="AU432" s="16"/>
      <c r="AV432" s="16"/>
      <c r="AW432" s="16"/>
      <c r="AX432" s="16"/>
      <c r="AY432" s="16"/>
      <c r="AZ432" s="20"/>
      <c r="BA432" s="20"/>
      <c r="BB432" s="20"/>
      <c r="BC432" s="20"/>
      <c r="BD432" s="16"/>
      <c r="BE432" s="16"/>
      <c r="BF432" s="16"/>
      <c r="BG432" s="16"/>
      <c r="BH432" s="16"/>
      <c r="BI432" s="16"/>
      <c r="BJ432" s="16"/>
      <c r="BK432" s="16"/>
      <c r="BL432" s="16"/>
      <c r="BM432" s="33"/>
      <c r="BN432" s="33"/>
      <c r="BO432" s="33"/>
      <c r="BP432" s="55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</row>
    <row r="433" spans="67:117" ht="12" hidden="1" thickBot="1">
      <c r="BO433" s="33"/>
      <c r="BP433" s="55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</row>
    <row r="434" spans="67:117" ht="12" hidden="1" thickBot="1">
      <c r="BO434" s="33"/>
      <c r="BP434" s="55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</row>
    <row r="435" spans="67:117" ht="12" hidden="1" thickBot="1">
      <c r="BO435" s="33"/>
      <c r="BP435" s="55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</row>
    <row r="436" spans="67:117" ht="12" hidden="1" thickBot="1">
      <c r="BO436" s="33"/>
      <c r="BP436" s="55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</row>
    <row r="437" ht="12" hidden="1" thickBot="1"/>
    <row r="438" ht="12" hidden="1" thickBot="1"/>
    <row r="439" ht="12" hidden="1" thickBot="1"/>
    <row r="440" ht="12" hidden="1" thickBot="1"/>
    <row r="441" ht="12" hidden="1" thickBot="1"/>
    <row r="442" ht="12" hidden="1" thickBot="1"/>
    <row r="443" ht="12" hidden="1" thickBot="1"/>
    <row r="444" ht="12" hidden="1" thickBot="1"/>
    <row r="445" ht="12" hidden="1" thickBot="1"/>
    <row r="446" ht="12" hidden="1" thickBot="1"/>
    <row r="447" ht="12" hidden="1" thickBot="1"/>
    <row r="448" ht="12" hidden="1" thickBot="1"/>
    <row r="449" ht="12" hidden="1" thickBot="1"/>
    <row r="450" ht="12" hidden="1" thickBot="1"/>
    <row r="451" ht="12" hidden="1" thickBot="1"/>
    <row r="452" ht="12" hidden="1" thickBot="1"/>
    <row r="453" ht="12" hidden="1" thickBot="1"/>
    <row r="454" ht="12" hidden="1" thickBot="1"/>
    <row r="455" ht="12" hidden="1" thickBot="1"/>
    <row r="456" ht="12" hidden="1" thickBot="1"/>
    <row r="457" ht="12" hidden="1" thickBot="1"/>
    <row r="458" ht="12" hidden="1" thickBot="1"/>
    <row r="459" ht="12" hidden="1" thickBot="1"/>
    <row r="460" ht="12" hidden="1" thickBot="1"/>
    <row r="461" ht="12" hidden="1" thickBot="1"/>
    <row r="462" ht="12" hidden="1" thickBot="1"/>
    <row r="463" ht="12" hidden="1" thickBot="1"/>
    <row r="464" ht="12" hidden="1" thickBot="1"/>
    <row r="465" ht="12" hidden="1" thickBot="1"/>
    <row r="466" ht="12" hidden="1" thickBot="1"/>
    <row r="467" ht="12" hidden="1" thickBot="1"/>
    <row r="468" ht="12" hidden="1" thickBot="1"/>
    <row r="469" ht="12" hidden="1" thickBot="1"/>
    <row r="470" ht="12" hidden="1" thickBot="1"/>
    <row r="471" ht="12" hidden="1" thickBot="1"/>
    <row r="472" ht="12" hidden="1" thickBot="1"/>
    <row r="473" ht="12" hidden="1" thickBot="1"/>
    <row r="474" ht="12" hidden="1" thickBot="1"/>
    <row r="475" ht="12" hidden="1" thickBot="1"/>
    <row r="476" ht="12" hidden="1" thickBot="1"/>
    <row r="477" ht="12" hidden="1" thickBot="1"/>
    <row r="478" ht="12" hidden="1" thickBot="1"/>
    <row r="479" ht="12" hidden="1" thickBot="1"/>
    <row r="480" ht="12" hidden="1" thickBot="1"/>
    <row r="481" ht="12" hidden="1" thickBot="1"/>
    <row r="482" ht="12" hidden="1" thickBot="1"/>
    <row r="483" ht="12" hidden="1" thickBot="1"/>
    <row r="484" ht="12" hidden="1" thickBot="1"/>
    <row r="485" ht="12" hidden="1" thickBot="1"/>
    <row r="486" ht="12" hidden="1" thickBot="1"/>
    <row r="487" ht="12" hidden="1" thickBot="1"/>
    <row r="488" ht="12" hidden="1" thickBot="1"/>
    <row r="489" ht="12" hidden="1" thickBot="1"/>
    <row r="490" ht="12" hidden="1" thickBot="1"/>
    <row r="491" ht="12" hidden="1" thickBot="1"/>
    <row r="492" ht="12" hidden="1" thickBot="1"/>
    <row r="493" ht="12" hidden="1" thickBot="1"/>
    <row r="494" ht="12" hidden="1" thickBot="1"/>
    <row r="495" ht="12" hidden="1" thickBot="1"/>
    <row r="496" ht="12" hidden="1" thickBot="1"/>
    <row r="497" ht="12" hidden="1" thickBot="1"/>
    <row r="498" ht="12" hidden="1" thickBot="1"/>
    <row r="499" ht="12" hidden="1" thickBot="1"/>
    <row r="500" ht="12" hidden="1" thickBot="1"/>
    <row r="501" ht="12" hidden="1" thickBot="1"/>
    <row r="502" ht="12" hidden="1" thickBot="1"/>
    <row r="503" ht="12" hidden="1" thickBot="1"/>
    <row r="504" ht="12" hidden="1" thickBot="1"/>
    <row r="505" ht="12" hidden="1" thickBot="1"/>
    <row r="506" ht="12" hidden="1" thickBot="1"/>
    <row r="507" ht="12" hidden="1" thickBot="1"/>
    <row r="508" ht="12" hidden="1" thickBot="1"/>
    <row r="509" ht="12" hidden="1" thickBot="1"/>
    <row r="510" ht="12" hidden="1" thickBot="1"/>
    <row r="511" ht="12" hidden="1" thickBot="1"/>
    <row r="512" ht="12" hidden="1" thickBot="1"/>
    <row r="513" ht="12" hidden="1" thickBot="1"/>
    <row r="514" ht="12" hidden="1" thickBot="1"/>
    <row r="515" ht="12" hidden="1" thickBot="1"/>
    <row r="516" ht="12" hidden="1" thickBot="1"/>
    <row r="517" ht="12" hidden="1" thickBot="1"/>
    <row r="518" ht="12" hidden="1" thickBot="1"/>
    <row r="519" ht="12" hidden="1" thickBot="1"/>
    <row r="520" ht="12" hidden="1" thickBot="1"/>
    <row r="521" ht="12" hidden="1" thickBot="1"/>
    <row r="522" ht="12" hidden="1" thickBot="1"/>
    <row r="523" ht="12" hidden="1" thickBot="1"/>
    <row r="524" ht="12" hidden="1" thickBot="1"/>
    <row r="525" ht="12" hidden="1" thickBot="1"/>
    <row r="526" ht="12" hidden="1" thickBot="1"/>
    <row r="527" ht="12" hidden="1" thickBot="1"/>
    <row r="528" ht="12" hidden="1" thickBot="1"/>
    <row r="529" ht="12" hidden="1" thickBot="1"/>
    <row r="530" ht="12" hidden="1" thickBot="1"/>
    <row r="531" ht="12" hidden="1" thickBot="1"/>
    <row r="532" ht="12" hidden="1" thickBot="1"/>
    <row r="533" ht="12" hidden="1" thickBot="1"/>
    <row r="534" ht="12" hidden="1" thickBot="1"/>
    <row r="535" ht="12" hidden="1" thickBot="1"/>
    <row r="536" ht="12" hidden="1" thickBot="1"/>
    <row r="537" ht="12" hidden="1" thickBot="1"/>
    <row r="538" ht="12" hidden="1" thickBot="1"/>
    <row r="539" ht="12" hidden="1" thickBot="1"/>
    <row r="540" ht="12" hidden="1" thickBot="1"/>
    <row r="541" ht="12" hidden="1" thickBot="1"/>
    <row r="542" ht="12" hidden="1" thickBot="1"/>
    <row r="543" ht="12" hidden="1" thickBot="1"/>
    <row r="544" ht="12" hidden="1" thickBot="1"/>
    <row r="545" ht="12" hidden="1" thickBot="1"/>
    <row r="546" ht="12" hidden="1" thickBot="1"/>
    <row r="547" ht="12" hidden="1" thickBot="1"/>
    <row r="548" ht="12" hidden="1" thickBot="1"/>
    <row r="549" ht="12" hidden="1" thickBot="1"/>
    <row r="550" ht="12" hidden="1" thickBot="1"/>
    <row r="551" ht="12" hidden="1" thickBot="1"/>
    <row r="552" ht="12" hidden="1" thickBot="1"/>
    <row r="553" ht="12" hidden="1" thickBot="1"/>
    <row r="554" ht="12" hidden="1" thickBot="1"/>
    <row r="555" ht="12" hidden="1" thickBot="1"/>
    <row r="556" ht="12" hidden="1" thickBot="1"/>
    <row r="557" ht="12" hidden="1" thickBot="1"/>
    <row r="558" ht="12" hidden="1" thickBot="1"/>
    <row r="559" ht="12" hidden="1" thickBot="1"/>
    <row r="560" ht="12" hidden="1" thickBot="1"/>
    <row r="561" ht="12" hidden="1" thickBot="1"/>
    <row r="562" ht="12" hidden="1" thickBot="1"/>
    <row r="563" ht="12" hidden="1" thickBot="1"/>
    <row r="564" ht="12" hidden="1" thickBot="1"/>
    <row r="565" ht="12" hidden="1" thickBot="1"/>
    <row r="566" ht="12" hidden="1" thickBot="1"/>
    <row r="567" ht="12" hidden="1" thickBot="1"/>
    <row r="568" ht="12" hidden="1" thickBot="1"/>
    <row r="569" ht="12" hidden="1" thickBot="1"/>
    <row r="570" ht="12" hidden="1" thickBot="1"/>
    <row r="571" ht="12" hidden="1" thickBot="1"/>
    <row r="572" ht="12" hidden="1" thickBot="1"/>
    <row r="573" ht="12" hidden="1" thickBot="1"/>
    <row r="574" ht="12" hidden="1" thickBot="1"/>
    <row r="575" ht="12" hidden="1" thickBot="1"/>
    <row r="576" ht="12" hidden="1" thickBot="1"/>
    <row r="577" ht="12" hidden="1" thickBot="1"/>
    <row r="578" ht="12" hidden="1" thickBot="1"/>
    <row r="579" ht="12" hidden="1" thickBot="1"/>
    <row r="580" ht="12" hidden="1" thickBot="1"/>
    <row r="581" ht="12" hidden="1" thickBot="1"/>
    <row r="582" ht="12" hidden="1" thickBot="1"/>
    <row r="583" ht="12" hidden="1" thickBot="1"/>
    <row r="584" ht="12" hidden="1" thickBot="1"/>
    <row r="585" ht="12" hidden="1" thickBot="1"/>
    <row r="586" ht="12" hidden="1" thickBot="1"/>
    <row r="587" ht="12" hidden="1" thickBot="1"/>
    <row r="588" ht="12" hidden="1" thickBot="1"/>
    <row r="589" ht="12" hidden="1" thickBot="1"/>
    <row r="590" ht="12" hidden="1" thickBot="1"/>
    <row r="591" ht="12" hidden="1" thickBot="1"/>
    <row r="592" ht="12" hidden="1" thickBot="1"/>
    <row r="593" ht="12" hidden="1" thickBot="1"/>
    <row r="594" ht="12" hidden="1" thickBot="1"/>
    <row r="595" ht="12" hidden="1" thickBot="1"/>
    <row r="596" ht="12" hidden="1" thickBot="1"/>
    <row r="597" ht="12" hidden="1" thickBot="1"/>
    <row r="598" ht="12" hidden="1" thickBot="1"/>
    <row r="599" ht="12" hidden="1" thickBot="1"/>
    <row r="600" ht="12" hidden="1" thickBot="1"/>
    <row r="601" ht="12" hidden="1" thickBot="1"/>
    <row r="602" ht="12" hidden="1" thickBot="1"/>
    <row r="603" ht="12" hidden="1" thickBot="1"/>
    <row r="604" ht="12" hidden="1" thickBot="1"/>
    <row r="605" ht="12" hidden="1" thickBot="1"/>
    <row r="606" ht="12" hidden="1" thickBot="1"/>
    <row r="607" ht="12" hidden="1" thickBot="1"/>
    <row r="608" ht="12" hidden="1" thickBot="1"/>
    <row r="609" ht="12" hidden="1" thickBot="1"/>
    <row r="610" ht="12" hidden="1" thickBot="1"/>
    <row r="611" ht="12" hidden="1" thickBot="1"/>
    <row r="612" ht="12" hidden="1" thickBot="1"/>
    <row r="613" ht="12" hidden="1" thickBot="1"/>
    <row r="614" ht="12" hidden="1" thickBot="1"/>
    <row r="615" ht="12" hidden="1" thickBot="1"/>
    <row r="616" ht="12" hidden="1" thickBot="1"/>
    <row r="617" ht="12" hidden="1" thickBot="1"/>
    <row r="618" ht="12" hidden="1" thickBot="1"/>
    <row r="619" ht="12" hidden="1" thickBot="1"/>
    <row r="620" ht="12" hidden="1" thickBot="1"/>
    <row r="621" ht="12" hidden="1" thickBot="1"/>
    <row r="622" ht="12" hidden="1" thickBot="1"/>
    <row r="623" ht="12" hidden="1" thickBot="1"/>
    <row r="624" ht="12" hidden="1" thickBot="1"/>
    <row r="625" ht="12" hidden="1" thickBot="1"/>
    <row r="626" ht="12" hidden="1" thickBot="1"/>
    <row r="627" ht="12" hidden="1" thickBot="1"/>
    <row r="628" ht="12" hidden="1" thickBot="1"/>
    <row r="629" ht="12" hidden="1" thickBot="1"/>
    <row r="630" ht="12" hidden="1" thickBot="1"/>
    <row r="631" ht="12" hidden="1" thickBot="1"/>
    <row r="632" ht="12" hidden="1" thickBot="1"/>
    <row r="633" ht="12" hidden="1" thickBot="1"/>
    <row r="634" ht="12" hidden="1" thickBot="1"/>
    <row r="635" ht="12" hidden="1" thickBot="1"/>
    <row r="636" ht="12" hidden="1" thickBot="1"/>
    <row r="637" ht="12" hidden="1" thickBot="1"/>
    <row r="638" ht="12" hidden="1" thickBot="1"/>
    <row r="639" ht="12" hidden="1" thickBot="1"/>
    <row r="640" ht="12" hidden="1" thickBot="1"/>
    <row r="641" ht="12" hidden="1" thickBot="1"/>
    <row r="642" ht="12" hidden="1" thickBot="1"/>
    <row r="643" ht="12" hidden="1" thickBot="1"/>
    <row r="644" ht="12" hidden="1" thickBot="1"/>
    <row r="645" ht="12" hidden="1" thickBot="1"/>
    <row r="646" ht="12" hidden="1" thickBot="1"/>
    <row r="647" ht="12" hidden="1" thickBot="1"/>
    <row r="648" ht="12" hidden="1" thickBot="1"/>
    <row r="649" ht="12" hidden="1" thickBot="1"/>
    <row r="650" ht="12" hidden="1" thickBot="1"/>
    <row r="651" ht="12" hidden="1" thickBot="1"/>
    <row r="652" ht="12" hidden="1" thickBot="1"/>
    <row r="653" ht="12" hidden="1" thickBot="1"/>
    <row r="654" ht="12" hidden="1" thickBot="1"/>
    <row r="655" ht="12" hidden="1" thickBot="1"/>
    <row r="656" ht="12" hidden="1" thickBot="1"/>
    <row r="657" ht="12" hidden="1" thickBot="1"/>
    <row r="658" ht="12" hidden="1" thickBot="1"/>
    <row r="659" ht="12" hidden="1" thickBot="1"/>
    <row r="660" ht="12" hidden="1" thickBot="1"/>
    <row r="661" ht="12" hidden="1" thickBot="1"/>
    <row r="662" ht="12" hidden="1" thickBot="1"/>
    <row r="663" ht="12" hidden="1" thickBot="1"/>
    <row r="664" ht="12" hidden="1" thickBot="1"/>
    <row r="665" ht="12" hidden="1" thickBot="1"/>
    <row r="666" ht="12" hidden="1" thickBot="1"/>
    <row r="667" ht="12" hidden="1" thickBot="1"/>
    <row r="668" ht="12" hidden="1" thickBot="1"/>
    <row r="669" ht="12" hidden="1" thickBot="1"/>
    <row r="670" ht="12" hidden="1" thickBot="1"/>
    <row r="671" ht="12" hidden="1" thickBot="1"/>
    <row r="672" ht="12" hidden="1" thickBot="1"/>
    <row r="673" ht="12" hidden="1" thickBot="1"/>
    <row r="674" ht="12" hidden="1" thickBot="1"/>
    <row r="675" ht="12" hidden="1" thickBot="1"/>
    <row r="676" ht="12" hidden="1" thickBot="1"/>
    <row r="677" ht="12" hidden="1" thickBot="1"/>
    <row r="678" ht="12" hidden="1" thickBot="1"/>
    <row r="679" ht="12" hidden="1" thickBot="1"/>
    <row r="680" ht="12" hidden="1" thickBot="1"/>
    <row r="681" ht="12" hidden="1" thickBot="1"/>
    <row r="682" ht="12" hidden="1" thickBot="1"/>
    <row r="683" ht="12" hidden="1" thickBot="1"/>
    <row r="684" ht="12" hidden="1" thickBot="1"/>
    <row r="685" ht="12" hidden="1" thickBot="1"/>
    <row r="686" ht="12" hidden="1" thickBot="1"/>
    <row r="687" ht="12" hidden="1" thickBot="1"/>
    <row r="688" ht="12" hidden="1" thickBot="1"/>
    <row r="689" ht="12" hidden="1" thickBot="1"/>
    <row r="690" ht="12" hidden="1" thickBot="1"/>
    <row r="691" ht="12" hidden="1" thickBot="1"/>
    <row r="692" ht="12" hidden="1" thickBot="1"/>
    <row r="693" ht="12" hidden="1" thickBot="1"/>
    <row r="694" ht="12" hidden="1" thickBot="1"/>
    <row r="695" ht="12" hidden="1" thickBot="1"/>
    <row r="696" ht="12" hidden="1" thickBot="1"/>
    <row r="697" ht="12" hidden="1" thickBot="1"/>
    <row r="698" ht="12" hidden="1" thickBot="1"/>
    <row r="699" ht="12" hidden="1" thickBot="1"/>
    <row r="700" ht="12" hidden="1" thickBot="1"/>
    <row r="701" ht="12" hidden="1" thickBot="1"/>
    <row r="702" ht="12" hidden="1" thickBot="1"/>
    <row r="703" ht="12" hidden="1" thickBot="1"/>
    <row r="704" ht="12" hidden="1" thickBot="1"/>
    <row r="705" ht="12" hidden="1" thickBot="1"/>
    <row r="706" ht="12" hidden="1" thickBot="1"/>
    <row r="707" ht="12" hidden="1" thickBot="1"/>
    <row r="708" ht="12" hidden="1" thickBot="1"/>
    <row r="709" ht="12" hidden="1" thickBot="1"/>
    <row r="710" ht="12" hidden="1" thickBot="1"/>
    <row r="711" ht="12" hidden="1" thickBot="1"/>
    <row r="712" ht="12" hidden="1" thickBot="1"/>
    <row r="713" ht="12" hidden="1" thickBot="1"/>
    <row r="714" ht="12" hidden="1" thickBot="1"/>
    <row r="715" ht="12" hidden="1" thickBot="1"/>
    <row r="716" ht="12" hidden="1" thickBot="1"/>
    <row r="717" ht="12" hidden="1" thickBot="1"/>
    <row r="718" ht="12" hidden="1" thickBot="1"/>
    <row r="719" ht="12" hidden="1" thickBot="1"/>
    <row r="720" ht="12" hidden="1" thickBot="1"/>
    <row r="721" ht="12" hidden="1" thickBot="1"/>
    <row r="722" ht="12" hidden="1" thickBot="1"/>
    <row r="723" ht="12" hidden="1" thickBot="1"/>
    <row r="724" ht="12" hidden="1" thickBot="1"/>
    <row r="725" ht="12" hidden="1" thickBot="1"/>
    <row r="726" ht="12" hidden="1" thickBot="1"/>
    <row r="727" ht="12" hidden="1" thickBot="1"/>
    <row r="728" ht="12" hidden="1" thickBot="1"/>
    <row r="729" ht="12" hidden="1" thickBot="1"/>
    <row r="730" ht="12" hidden="1" thickBot="1"/>
    <row r="731" ht="12" hidden="1" thickBot="1"/>
    <row r="732" ht="12" hidden="1" thickBot="1"/>
    <row r="733" ht="12" hidden="1" thickBot="1"/>
    <row r="734" ht="12" hidden="1" thickBot="1"/>
    <row r="735" ht="12" hidden="1" thickBot="1"/>
    <row r="736" ht="12" hidden="1" thickBot="1"/>
    <row r="737" ht="12" hidden="1" thickBot="1"/>
    <row r="738" ht="12" hidden="1" thickBot="1"/>
    <row r="739" ht="12" hidden="1" thickBot="1"/>
    <row r="740" ht="12" hidden="1" thickBot="1"/>
    <row r="741" ht="12" hidden="1" thickBot="1"/>
    <row r="742" ht="12" hidden="1" thickBot="1"/>
    <row r="743" ht="12" hidden="1" thickBot="1"/>
    <row r="744" ht="12" hidden="1" thickBot="1"/>
    <row r="745" ht="12" hidden="1" thickBot="1"/>
    <row r="746" ht="12" hidden="1" thickBot="1"/>
    <row r="747" ht="12" hidden="1" thickBot="1"/>
    <row r="748" ht="12" hidden="1" thickBot="1"/>
    <row r="749" ht="12" hidden="1" thickBot="1"/>
    <row r="750" ht="12" hidden="1" thickBot="1"/>
    <row r="751" ht="12" hidden="1" thickBot="1"/>
    <row r="752" ht="12" hidden="1" thickBot="1"/>
    <row r="753" ht="12" hidden="1" thickBot="1"/>
    <row r="754" ht="12" hidden="1" thickBot="1"/>
    <row r="755" ht="12" hidden="1" thickBot="1"/>
    <row r="756" ht="12" hidden="1" thickBot="1"/>
    <row r="757" ht="12" hidden="1" thickBot="1"/>
    <row r="758" ht="12" hidden="1" thickBot="1"/>
    <row r="759" ht="12" hidden="1" thickBot="1"/>
    <row r="760" ht="12" hidden="1" thickBot="1"/>
    <row r="761" ht="12" hidden="1" thickBot="1"/>
    <row r="762" ht="12" hidden="1" thickBot="1"/>
    <row r="763" ht="12" hidden="1" thickBot="1"/>
    <row r="764" ht="12" hidden="1" thickBot="1"/>
    <row r="765" ht="12" hidden="1" thickBot="1"/>
    <row r="766" ht="12" hidden="1" thickBot="1"/>
    <row r="767" ht="12" hidden="1" thickBot="1"/>
    <row r="768" ht="12" hidden="1" thickBot="1"/>
    <row r="769" ht="12" hidden="1" thickBot="1"/>
    <row r="770" ht="12" hidden="1" thickBot="1"/>
    <row r="771" ht="12" hidden="1" thickBot="1"/>
    <row r="772" ht="12" hidden="1" thickBot="1"/>
    <row r="773" ht="12" hidden="1" thickBot="1"/>
    <row r="774" ht="12" hidden="1" thickBot="1"/>
    <row r="775" ht="12" hidden="1" thickBot="1"/>
    <row r="776" ht="12" hidden="1" thickBot="1"/>
    <row r="777" ht="12" hidden="1" thickBot="1"/>
    <row r="778" ht="12" hidden="1" thickBot="1"/>
    <row r="779" ht="12" hidden="1" thickBot="1"/>
    <row r="780" ht="12" hidden="1" thickBot="1"/>
    <row r="781" ht="12" hidden="1" thickBot="1"/>
    <row r="782" ht="12" hidden="1" thickBot="1"/>
    <row r="783" ht="12" hidden="1" thickBot="1"/>
    <row r="784" ht="12" hidden="1" thickBot="1"/>
    <row r="785" ht="12" hidden="1" thickBot="1"/>
    <row r="786" ht="12" hidden="1" thickBot="1"/>
    <row r="787" ht="12" hidden="1" thickBot="1"/>
    <row r="788" ht="12" hidden="1" thickBot="1"/>
    <row r="789" ht="12" hidden="1" thickBot="1"/>
    <row r="790" ht="12" hidden="1" thickBot="1"/>
    <row r="791" ht="12" hidden="1" thickBot="1"/>
    <row r="792" ht="12" hidden="1" thickBot="1"/>
    <row r="793" ht="12" hidden="1" thickBot="1"/>
    <row r="794" ht="12" hidden="1" thickBot="1"/>
    <row r="795" ht="12" hidden="1" thickBot="1"/>
    <row r="796" ht="12" hidden="1" thickBot="1"/>
    <row r="797" ht="12" hidden="1" thickBot="1"/>
    <row r="798" ht="12" hidden="1" thickBot="1"/>
    <row r="799" ht="12" hidden="1" thickBot="1"/>
    <row r="800" ht="12" hidden="1" thickBot="1"/>
    <row r="801" ht="12" hidden="1" thickBot="1"/>
    <row r="802" ht="12" hidden="1" thickBot="1"/>
    <row r="803" ht="12" hidden="1" thickBot="1"/>
    <row r="804" ht="12" hidden="1" thickBot="1"/>
    <row r="805" ht="12" hidden="1" thickBot="1"/>
    <row r="806" ht="12" hidden="1" thickBot="1"/>
    <row r="807" ht="12" hidden="1" thickBot="1"/>
    <row r="808" ht="12" hidden="1" thickBot="1"/>
    <row r="809" ht="12" hidden="1" thickBot="1"/>
    <row r="810" ht="12" hidden="1" thickBot="1"/>
    <row r="811" ht="12" hidden="1" thickBot="1"/>
    <row r="812" ht="12" hidden="1" thickBot="1"/>
    <row r="813" ht="12" hidden="1" thickBot="1"/>
    <row r="814" ht="12" hidden="1" thickBot="1"/>
    <row r="815" ht="12" hidden="1" thickBot="1"/>
    <row r="816" ht="12" hidden="1" thickBot="1"/>
    <row r="817" ht="12" hidden="1" thickBot="1"/>
    <row r="818" ht="12" hidden="1" thickBot="1"/>
    <row r="819" ht="12" hidden="1" thickBot="1"/>
    <row r="820" ht="12" hidden="1" thickBot="1"/>
    <row r="821" ht="12" hidden="1" thickBot="1"/>
    <row r="822" ht="12" hidden="1" thickBot="1"/>
    <row r="823" ht="12" hidden="1" thickBot="1"/>
    <row r="824" ht="12" hidden="1" thickBot="1"/>
    <row r="825" ht="12" hidden="1" thickBot="1"/>
    <row r="826" ht="12" hidden="1" thickBot="1"/>
    <row r="827" ht="12" hidden="1" thickBot="1"/>
    <row r="828" ht="12" hidden="1" thickBot="1"/>
    <row r="829" ht="12" hidden="1" thickBot="1"/>
    <row r="830" ht="12" hidden="1" thickBot="1"/>
    <row r="831" ht="12" hidden="1" thickBot="1"/>
    <row r="832" ht="12" hidden="1" thickBot="1"/>
    <row r="833" ht="12" hidden="1" thickBot="1"/>
    <row r="834" ht="12" hidden="1" thickBot="1"/>
    <row r="835" ht="12" hidden="1" thickBot="1"/>
    <row r="836" ht="12" hidden="1" thickBot="1"/>
    <row r="837" ht="12" hidden="1" thickBot="1"/>
    <row r="838" ht="12" hidden="1" thickBot="1"/>
    <row r="839" ht="12" hidden="1" thickBot="1"/>
    <row r="840" ht="12" hidden="1" thickBot="1"/>
    <row r="841" ht="12" hidden="1" thickBot="1"/>
    <row r="842" ht="12" hidden="1" thickBot="1"/>
    <row r="843" ht="12" hidden="1" thickBot="1"/>
    <row r="844" ht="12" hidden="1" thickBot="1"/>
    <row r="845" ht="12" hidden="1" thickBot="1"/>
    <row r="846" ht="12" hidden="1" thickBot="1"/>
    <row r="847" ht="12" hidden="1" thickBot="1"/>
    <row r="848" ht="12" hidden="1" thickBot="1"/>
    <row r="849" ht="12" hidden="1" thickBot="1"/>
    <row r="850" ht="12" hidden="1" thickBot="1"/>
    <row r="851" ht="12" hidden="1" thickBot="1"/>
    <row r="852" ht="12" hidden="1" thickBot="1"/>
    <row r="853" ht="12" hidden="1" thickBot="1"/>
    <row r="854" ht="12" hidden="1" thickBot="1"/>
    <row r="855" ht="12" hidden="1" thickBot="1"/>
    <row r="856" ht="12" hidden="1" thickBot="1"/>
    <row r="857" ht="12" hidden="1" thickBot="1"/>
    <row r="858" ht="12" hidden="1" thickBot="1"/>
    <row r="859" ht="12" hidden="1" thickBot="1"/>
    <row r="860" ht="12" hidden="1" thickBot="1"/>
    <row r="861" ht="12" hidden="1" thickBot="1"/>
    <row r="862" ht="12" hidden="1" thickBot="1"/>
    <row r="863" ht="12" hidden="1" thickBot="1"/>
    <row r="864" ht="12" hidden="1" thickBot="1"/>
    <row r="865" ht="12" hidden="1" thickBot="1"/>
    <row r="866" ht="12" hidden="1" thickBot="1"/>
    <row r="867" ht="12" hidden="1" thickBot="1"/>
    <row r="868" ht="12" hidden="1" thickBot="1"/>
    <row r="869" ht="12" hidden="1" thickBot="1"/>
    <row r="870" ht="12" hidden="1" thickBot="1"/>
    <row r="871" ht="12" hidden="1" thickBot="1"/>
    <row r="872" ht="12" hidden="1" thickBot="1"/>
    <row r="873" ht="12" hidden="1" thickBot="1"/>
    <row r="874" ht="12" hidden="1" thickBot="1"/>
    <row r="875" ht="12" hidden="1" thickBot="1"/>
    <row r="876" ht="12" hidden="1" thickBot="1"/>
    <row r="877" ht="12" hidden="1" thickBot="1"/>
    <row r="878" ht="12" hidden="1" thickBot="1"/>
    <row r="879" ht="12" hidden="1" thickBot="1"/>
    <row r="880" ht="12" hidden="1" thickBot="1"/>
    <row r="881" ht="12" hidden="1" thickBot="1"/>
    <row r="882" ht="12" hidden="1" thickBot="1"/>
    <row r="883" ht="12" hidden="1" thickBot="1"/>
    <row r="884" ht="12" hidden="1" thickBot="1"/>
    <row r="885" ht="12" hidden="1" thickBot="1"/>
    <row r="886" ht="12" hidden="1" thickBot="1"/>
    <row r="887" ht="12" hidden="1" thickBot="1"/>
    <row r="888" ht="12" hidden="1" thickBot="1"/>
    <row r="889" ht="12" hidden="1" thickBot="1"/>
    <row r="890" ht="12" hidden="1" thickBot="1"/>
    <row r="891" ht="12" hidden="1" thickBot="1"/>
    <row r="892" ht="12" hidden="1" thickBot="1"/>
    <row r="893" ht="12" hidden="1" thickBot="1"/>
    <row r="894" ht="12" hidden="1" thickBot="1"/>
    <row r="895" ht="12" hidden="1" thickBot="1"/>
    <row r="896" ht="12" hidden="1" thickBot="1"/>
    <row r="897" ht="12" hidden="1" thickBot="1"/>
    <row r="898" ht="12" hidden="1" thickBot="1"/>
    <row r="899" ht="12" hidden="1" thickBot="1"/>
    <row r="900" ht="12" hidden="1" thickBot="1"/>
    <row r="901" ht="12" hidden="1" thickBot="1"/>
    <row r="902" ht="12" hidden="1" thickBot="1"/>
    <row r="903" ht="12" hidden="1" thickBot="1"/>
    <row r="904" ht="12" hidden="1" thickBot="1"/>
    <row r="905" ht="12" hidden="1" thickBot="1"/>
    <row r="906" ht="12" hidden="1" thickBot="1"/>
    <row r="907" ht="12" hidden="1" thickBot="1"/>
    <row r="908" ht="12" hidden="1" thickBot="1"/>
    <row r="909" ht="12" hidden="1" thickBot="1"/>
    <row r="910" ht="12" hidden="1" thickBot="1"/>
    <row r="911" ht="12" hidden="1" thickBot="1"/>
    <row r="912" ht="12" hidden="1" thickBot="1"/>
    <row r="913" ht="12" hidden="1" thickBot="1"/>
    <row r="914" ht="12" hidden="1" thickBot="1"/>
    <row r="915" ht="12" hidden="1" thickBot="1"/>
    <row r="916" ht="12" hidden="1" thickBot="1"/>
    <row r="917" ht="12" hidden="1" thickBot="1"/>
    <row r="918" ht="12" hidden="1" thickBot="1"/>
    <row r="919" ht="12" hidden="1" thickBot="1"/>
    <row r="920" ht="12" hidden="1" thickBot="1"/>
    <row r="921" ht="12" hidden="1" thickBot="1"/>
    <row r="922" ht="12" hidden="1" thickBot="1"/>
    <row r="923" ht="12" hidden="1" thickBot="1"/>
    <row r="924" ht="12" hidden="1" thickBot="1"/>
    <row r="925" ht="12" hidden="1" thickBot="1"/>
    <row r="926" ht="12" hidden="1" thickBot="1"/>
    <row r="927" ht="12" hidden="1" thickBot="1"/>
    <row r="928" ht="12" hidden="1" thickBot="1"/>
    <row r="929" ht="12" hidden="1" thickBot="1"/>
    <row r="930" ht="12" hidden="1" thickBot="1"/>
    <row r="931" ht="12" hidden="1" thickBot="1"/>
    <row r="932" ht="12" hidden="1" thickBot="1"/>
    <row r="933" ht="12" hidden="1" thickBot="1"/>
    <row r="934" ht="12" hidden="1" thickBot="1"/>
    <row r="935" ht="12" hidden="1" thickBot="1"/>
    <row r="936" ht="12" hidden="1" thickBot="1"/>
    <row r="937" ht="12" hidden="1" thickBot="1"/>
    <row r="938" ht="12" hidden="1" thickBot="1"/>
    <row r="939" ht="12" hidden="1" thickBot="1"/>
    <row r="940" ht="12" hidden="1" thickBot="1"/>
    <row r="941" ht="12" hidden="1" thickBot="1"/>
    <row r="942" ht="12" hidden="1" thickBot="1"/>
    <row r="943" ht="12" hidden="1" thickBot="1"/>
    <row r="944" ht="12" hidden="1" thickBot="1"/>
    <row r="945" ht="12" hidden="1" thickBot="1"/>
    <row r="946" ht="12" hidden="1" thickBot="1"/>
    <row r="947" ht="12" hidden="1" thickBot="1"/>
    <row r="948" ht="12" hidden="1" thickBot="1"/>
    <row r="949" ht="12" hidden="1" thickBot="1"/>
    <row r="950" ht="12" hidden="1" thickBot="1"/>
    <row r="951" ht="12" hidden="1" thickBot="1"/>
    <row r="952" ht="12" hidden="1" thickBot="1"/>
    <row r="953" ht="12" hidden="1" thickBot="1"/>
    <row r="954" ht="12" hidden="1" thickBot="1"/>
    <row r="955" ht="12" hidden="1" thickBot="1"/>
    <row r="956" ht="12" hidden="1" thickBot="1"/>
    <row r="957" ht="12" hidden="1" thickBot="1"/>
    <row r="958" ht="12" hidden="1" thickBot="1"/>
    <row r="959" ht="12" hidden="1" thickBot="1"/>
    <row r="960" ht="12" hidden="1" thickBot="1"/>
    <row r="961" ht="12" hidden="1" thickBot="1"/>
    <row r="962" ht="12" hidden="1" thickBot="1"/>
    <row r="963" ht="12" hidden="1" thickBot="1"/>
    <row r="964" ht="12" hidden="1" thickBot="1"/>
    <row r="965" ht="12" hidden="1" thickBot="1"/>
    <row r="966" ht="12" hidden="1" thickBot="1"/>
    <row r="967" ht="12" hidden="1" thickBot="1"/>
    <row r="968" ht="12" hidden="1" thickBot="1"/>
    <row r="969" ht="12" hidden="1" thickBot="1"/>
    <row r="970" ht="12" hidden="1" thickBot="1"/>
    <row r="971" ht="12" hidden="1" thickBot="1"/>
    <row r="972" ht="12" hidden="1" thickBot="1"/>
    <row r="973" ht="12" hidden="1" thickBot="1"/>
    <row r="974" ht="12" hidden="1" thickBot="1"/>
    <row r="975" ht="12" hidden="1" thickBot="1"/>
    <row r="976" ht="12" hidden="1" thickBot="1"/>
    <row r="977" ht="12" hidden="1" thickBot="1"/>
    <row r="978" ht="12" hidden="1" thickBot="1"/>
    <row r="979" ht="12" hidden="1" thickBot="1"/>
    <row r="980" ht="12" hidden="1" thickBot="1"/>
    <row r="981" ht="12" hidden="1" thickBot="1"/>
    <row r="982" ht="12" hidden="1" thickBot="1"/>
    <row r="983" ht="12" hidden="1" thickBot="1"/>
    <row r="984" ht="12" hidden="1" thickBot="1"/>
    <row r="985" ht="12" hidden="1" thickBot="1"/>
    <row r="986" ht="12" hidden="1" thickBot="1"/>
    <row r="987" ht="12" hidden="1" thickBot="1"/>
    <row r="988" ht="12" hidden="1" thickBot="1"/>
    <row r="989" ht="12" hidden="1" thickBot="1"/>
    <row r="990" ht="12" hidden="1" thickBot="1"/>
    <row r="991" ht="12" hidden="1" thickBot="1"/>
    <row r="992" ht="12" hidden="1" thickBot="1"/>
    <row r="993" ht="12" hidden="1" thickBot="1"/>
    <row r="994" ht="12" hidden="1" thickBot="1"/>
    <row r="995" ht="12" hidden="1" thickBot="1"/>
    <row r="996" ht="12" hidden="1" thickBot="1"/>
    <row r="997" ht="12" hidden="1" thickBot="1"/>
    <row r="998" ht="12" hidden="1" thickBot="1"/>
    <row r="999" ht="12" hidden="1" thickBot="1"/>
    <row r="1000" ht="12" hidden="1" thickBot="1"/>
    <row r="1001" ht="12" hidden="1" thickBot="1"/>
    <row r="1002" ht="12" hidden="1" thickBot="1"/>
    <row r="1003" ht="12" hidden="1" thickBot="1"/>
    <row r="1004" ht="12" hidden="1" thickBot="1"/>
    <row r="1005" ht="12" hidden="1" thickBot="1"/>
    <row r="1006" ht="12" hidden="1" thickBot="1"/>
    <row r="1007" ht="12" hidden="1" thickBot="1"/>
    <row r="1008" ht="12" hidden="1" thickBot="1"/>
    <row r="1009" ht="12" hidden="1" thickBot="1"/>
    <row r="1010" ht="12" hidden="1" thickBot="1"/>
    <row r="1011" ht="12" hidden="1" thickBot="1"/>
    <row r="1012" ht="12" hidden="1" thickBot="1"/>
    <row r="1013" ht="12" hidden="1" thickBot="1"/>
    <row r="1014" ht="12" hidden="1" thickBot="1"/>
    <row r="1015" ht="12" hidden="1" thickBot="1"/>
    <row r="1016" ht="12" hidden="1" thickBot="1"/>
    <row r="1017" ht="12" hidden="1" thickBot="1"/>
    <row r="1018" ht="12" hidden="1" thickBot="1"/>
    <row r="1019" ht="12" hidden="1" thickBot="1"/>
    <row r="1020" ht="12" hidden="1" thickBot="1"/>
    <row r="1021" ht="12" hidden="1" thickBot="1"/>
    <row r="1022" ht="12" hidden="1" thickBot="1"/>
    <row r="1023" ht="12" hidden="1" thickBot="1"/>
    <row r="1024" ht="12" hidden="1" thickBot="1"/>
    <row r="1025" ht="12" hidden="1" thickBot="1"/>
    <row r="1026" ht="12" hidden="1" thickBot="1"/>
    <row r="1027" ht="12" hidden="1" thickBot="1"/>
    <row r="1028" ht="12" hidden="1" thickBot="1"/>
    <row r="1029" ht="12" hidden="1" thickBot="1"/>
    <row r="1030" ht="12" hidden="1" thickBot="1"/>
    <row r="1031" ht="12" hidden="1" thickBot="1"/>
    <row r="1032" ht="12" hidden="1" thickBot="1"/>
    <row r="1033" ht="12" hidden="1" thickBot="1"/>
    <row r="1034" ht="12" hidden="1" thickBot="1"/>
    <row r="1035" ht="12" hidden="1" thickBot="1"/>
    <row r="1036" ht="12" hidden="1" thickBot="1"/>
    <row r="1037" ht="12" hidden="1" thickBot="1"/>
    <row r="1038" ht="12" hidden="1" thickBot="1"/>
    <row r="1039" ht="12" hidden="1" thickBot="1"/>
    <row r="1040" ht="12" hidden="1" thickBot="1"/>
    <row r="1041" ht="12" hidden="1" thickBot="1"/>
    <row r="1042" ht="12" hidden="1" thickBot="1"/>
    <row r="1043" ht="12" hidden="1" thickBot="1"/>
    <row r="1044" ht="12" hidden="1" thickBot="1"/>
    <row r="1045" ht="12" hidden="1" thickBot="1"/>
    <row r="1046" ht="12" hidden="1" thickBot="1"/>
    <row r="1047" ht="12" hidden="1" thickBot="1"/>
    <row r="1048" ht="12" hidden="1" thickBot="1"/>
    <row r="1049" ht="12" hidden="1" thickBot="1"/>
    <row r="1050" ht="12" hidden="1" thickBot="1"/>
    <row r="1051" ht="12" hidden="1" thickBot="1"/>
    <row r="1052" ht="12" hidden="1" thickBot="1"/>
    <row r="1053" ht="12" hidden="1" thickBot="1"/>
    <row r="1054" ht="12" hidden="1" thickBot="1"/>
    <row r="1055" ht="12" hidden="1" thickBot="1"/>
    <row r="1056" ht="12" hidden="1" thickBot="1"/>
    <row r="1057" ht="12" hidden="1" thickBot="1"/>
    <row r="1058" ht="12" hidden="1" thickBot="1"/>
    <row r="1059" ht="12" hidden="1" thickBot="1"/>
    <row r="1060" ht="12" hidden="1" thickBot="1"/>
    <row r="1061" ht="12" hidden="1" thickBot="1"/>
    <row r="1062" ht="12" hidden="1" thickBot="1"/>
    <row r="1063" ht="12" hidden="1" thickBot="1"/>
    <row r="1064" ht="12" hidden="1" thickBot="1"/>
    <row r="1065" ht="12" hidden="1" thickBot="1"/>
    <row r="1066" ht="12" hidden="1" thickBot="1"/>
    <row r="1067" ht="12" hidden="1" thickBot="1"/>
    <row r="1068" ht="12" hidden="1" thickBot="1"/>
    <row r="1069" ht="12" hidden="1" thickBot="1"/>
    <row r="1070" ht="12" hidden="1" thickBot="1"/>
    <row r="1071" ht="12" hidden="1" thickBot="1"/>
    <row r="1072" ht="12" hidden="1" thickBot="1"/>
    <row r="1073" ht="12" hidden="1" thickBot="1"/>
    <row r="1074" ht="12" hidden="1" thickBot="1"/>
    <row r="1075" ht="12" hidden="1" thickBot="1"/>
    <row r="1076" ht="12" hidden="1" thickBot="1"/>
    <row r="1077" ht="12" hidden="1" thickBot="1"/>
    <row r="1078" ht="12" hidden="1" thickBot="1"/>
    <row r="1079" ht="12" hidden="1" thickBot="1"/>
    <row r="1080" ht="12" hidden="1" thickBot="1"/>
    <row r="1081" ht="12" hidden="1" thickBot="1"/>
    <row r="1082" ht="12" hidden="1" thickBot="1"/>
    <row r="1083" ht="12" hidden="1" thickBot="1"/>
    <row r="1084" ht="12" hidden="1" thickBot="1"/>
    <row r="1085" ht="12" hidden="1" thickBot="1"/>
    <row r="1086" ht="12" hidden="1" thickBot="1"/>
    <row r="1087" ht="12" hidden="1" thickBot="1"/>
    <row r="1088" ht="12" hidden="1" thickBot="1"/>
    <row r="1089" ht="12" hidden="1" thickBot="1"/>
    <row r="1090" ht="12" hidden="1" thickBot="1"/>
    <row r="1091" ht="12" hidden="1" thickBot="1"/>
    <row r="1092" ht="12" hidden="1" thickBot="1"/>
    <row r="1093" ht="12" hidden="1" thickBot="1"/>
    <row r="1094" ht="12" hidden="1" thickBot="1"/>
    <row r="1095" ht="12" hidden="1" thickBot="1"/>
    <row r="1096" ht="12" hidden="1" thickBot="1"/>
    <row r="1097" ht="12" hidden="1" thickBot="1"/>
    <row r="1098" ht="12" hidden="1" thickBot="1"/>
    <row r="1099" ht="12" hidden="1" thickBot="1"/>
    <row r="1100" ht="12" hidden="1" thickBot="1"/>
    <row r="1101" ht="12" hidden="1" thickBot="1"/>
    <row r="1102" ht="12" hidden="1" thickBot="1"/>
    <row r="1103" ht="12" hidden="1" thickBot="1"/>
    <row r="1104" ht="12" hidden="1" thickBot="1"/>
    <row r="1105" ht="12" hidden="1" thickBot="1"/>
    <row r="1106" ht="12" hidden="1" thickBot="1"/>
    <row r="1107" ht="12" hidden="1" thickBot="1"/>
    <row r="1108" ht="12" hidden="1" thickBot="1"/>
    <row r="1109" ht="12" hidden="1" thickBot="1"/>
    <row r="1110" ht="12" hidden="1" thickBot="1"/>
    <row r="1111" ht="12" hidden="1" thickBot="1"/>
    <row r="1112" ht="12" hidden="1" thickBot="1"/>
    <row r="1113" ht="12" hidden="1" thickBot="1"/>
    <row r="1114" ht="12" hidden="1" thickBot="1"/>
    <row r="1115" ht="12" hidden="1" thickBot="1"/>
    <row r="1116" ht="12" hidden="1" thickBot="1"/>
    <row r="1117" ht="12" hidden="1" thickBot="1"/>
    <row r="1118" ht="12" hidden="1" thickBot="1"/>
    <row r="1119" ht="12" hidden="1" thickBot="1"/>
    <row r="1120" ht="12" hidden="1" thickBot="1"/>
    <row r="1121" ht="12" hidden="1" thickBot="1"/>
    <row r="1122" ht="12" hidden="1" thickBot="1"/>
    <row r="1123" ht="12" hidden="1" thickBot="1"/>
    <row r="1124" ht="12" hidden="1" thickBot="1"/>
    <row r="1125" ht="12" hidden="1" thickBot="1"/>
    <row r="1126" ht="12" hidden="1" thickBot="1"/>
    <row r="1127" ht="12" hidden="1" thickBot="1"/>
    <row r="1128" ht="12" hidden="1" thickBot="1"/>
    <row r="1129" ht="12" hidden="1" thickBot="1"/>
    <row r="1130" ht="12" hidden="1" thickBot="1"/>
    <row r="1131" ht="12" hidden="1" thickBot="1"/>
    <row r="1132" ht="12" hidden="1" thickBot="1"/>
    <row r="1133" ht="12" hidden="1" thickBot="1"/>
    <row r="1134" ht="12" hidden="1" thickBot="1"/>
    <row r="1135" ht="12" hidden="1" thickBot="1"/>
    <row r="1136" ht="12" hidden="1" thickBot="1"/>
    <row r="1137" ht="12" hidden="1" thickBot="1"/>
    <row r="1138" ht="12" hidden="1" thickBot="1"/>
    <row r="1139" ht="12" hidden="1" thickBot="1"/>
    <row r="1140" ht="12" hidden="1" thickBot="1"/>
    <row r="1141" ht="12" hidden="1" thickBot="1"/>
    <row r="1142" ht="12" hidden="1" thickBot="1"/>
    <row r="1143" ht="12" hidden="1" thickBot="1"/>
    <row r="1144" ht="12" hidden="1" thickBot="1"/>
    <row r="1145" ht="12" hidden="1" thickBot="1"/>
    <row r="1146" ht="12" hidden="1" thickBot="1"/>
    <row r="1147" ht="12" hidden="1" thickBot="1"/>
    <row r="1148" ht="12" hidden="1" thickBot="1"/>
    <row r="1149" ht="12" hidden="1" thickBot="1"/>
    <row r="1150" ht="12" hidden="1" thickBot="1"/>
    <row r="1151" ht="12" hidden="1" thickBot="1"/>
    <row r="1152" ht="12" hidden="1" thickBot="1"/>
    <row r="1153" ht="12" hidden="1" thickBot="1"/>
    <row r="1154" ht="12" hidden="1" thickBot="1"/>
    <row r="1155" ht="12" hidden="1" thickBot="1"/>
    <row r="1156" ht="12" hidden="1" thickBot="1"/>
    <row r="1157" ht="12" hidden="1" thickBot="1"/>
    <row r="1158" ht="12" hidden="1" thickBot="1"/>
    <row r="1159" ht="12" hidden="1" thickBot="1"/>
    <row r="1160" ht="12" hidden="1" thickBot="1"/>
    <row r="1161" ht="12" hidden="1" thickBot="1"/>
    <row r="1162" ht="12" hidden="1" thickBot="1"/>
    <row r="1163" ht="12" hidden="1" thickBot="1"/>
    <row r="1164" ht="12" hidden="1" thickBot="1"/>
    <row r="1165" ht="12" hidden="1" thickBot="1"/>
    <row r="1166" ht="12" hidden="1" thickBot="1"/>
    <row r="1167" ht="12" hidden="1" thickBot="1"/>
    <row r="1168" ht="12" hidden="1" thickBot="1"/>
    <row r="1169" ht="12" hidden="1" thickBot="1"/>
    <row r="1170" ht="12" hidden="1" thickBot="1"/>
    <row r="1171" ht="12" hidden="1" thickBot="1"/>
    <row r="1172" ht="12" hidden="1" thickBot="1"/>
    <row r="1173" ht="12" hidden="1" thickBot="1"/>
    <row r="1174" ht="12" hidden="1" thickBot="1"/>
    <row r="1175" ht="12" hidden="1" thickBot="1"/>
    <row r="1176" ht="12" hidden="1" thickBot="1"/>
    <row r="1177" ht="12" hidden="1" thickBot="1"/>
    <row r="1178" ht="12" hidden="1" thickBot="1"/>
    <row r="1179" ht="12" hidden="1" thickBot="1"/>
    <row r="1180" ht="12" hidden="1" thickBot="1"/>
    <row r="1181" ht="12" hidden="1" thickBot="1"/>
    <row r="1182" ht="12" hidden="1" thickBot="1"/>
    <row r="1183" ht="12" hidden="1" thickBot="1"/>
    <row r="1184" ht="12" hidden="1" thickBot="1"/>
    <row r="1185" ht="12" hidden="1" thickBot="1"/>
    <row r="1186" ht="12" hidden="1" thickBot="1"/>
    <row r="1187" ht="12" hidden="1" thickBot="1"/>
    <row r="1188" ht="12" hidden="1" thickBot="1"/>
    <row r="1189" ht="12" hidden="1" thickBot="1"/>
    <row r="1190" ht="12" hidden="1" thickBot="1"/>
    <row r="1191" ht="12" hidden="1" thickBot="1"/>
    <row r="1192" ht="12" hidden="1" thickBot="1"/>
    <row r="1193" ht="12" hidden="1" thickBot="1"/>
    <row r="1194" ht="12" hidden="1" thickBot="1"/>
    <row r="1195" ht="12" hidden="1" thickBot="1"/>
    <row r="1196" ht="12" hidden="1" thickBot="1"/>
    <row r="1197" ht="12" hidden="1" thickBot="1"/>
    <row r="1198" ht="12" hidden="1" thickBot="1"/>
    <row r="1199" ht="12" hidden="1" thickBot="1"/>
    <row r="1200" ht="12" hidden="1" thickBot="1"/>
    <row r="1201" ht="12" hidden="1" thickBot="1"/>
    <row r="1202" ht="12" hidden="1" thickBot="1"/>
    <row r="1203" ht="12" hidden="1" thickBot="1"/>
    <row r="1204" ht="12" hidden="1" thickBot="1"/>
    <row r="1205" ht="12" hidden="1" thickBot="1"/>
    <row r="1206" ht="12" hidden="1" thickBot="1"/>
    <row r="1207" ht="12" hidden="1" thickBot="1"/>
    <row r="1208" ht="12" hidden="1" thickBot="1"/>
    <row r="1209" ht="12" hidden="1" thickBot="1"/>
    <row r="1210" ht="12" hidden="1" thickBot="1"/>
    <row r="1211" ht="12" hidden="1" thickBot="1"/>
    <row r="1212" ht="12" hidden="1" thickBot="1"/>
    <row r="1213" ht="12" hidden="1" thickBot="1"/>
    <row r="1214" ht="12" hidden="1" thickBot="1"/>
    <row r="1215" ht="12" hidden="1" thickBot="1"/>
    <row r="1216" ht="12" hidden="1" thickBot="1"/>
    <row r="1217" ht="12" hidden="1" thickBot="1"/>
    <row r="1218" ht="12" hidden="1" thickBot="1"/>
    <row r="1219" ht="12" hidden="1" thickBot="1"/>
    <row r="1220" ht="12" hidden="1" thickBot="1"/>
    <row r="1221" ht="12" hidden="1" thickBot="1"/>
    <row r="1222" ht="12" hidden="1" thickBot="1"/>
    <row r="1223" ht="12" hidden="1" thickBot="1"/>
    <row r="1224" ht="12" hidden="1" thickBot="1"/>
    <row r="1225" ht="12" hidden="1" thickBot="1"/>
    <row r="1226" ht="12" hidden="1" thickBot="1"/>
    <row r="1227" ht="12" hidden="1" thickBot="1"/>
    <row r="1228" ht="12" hidden="1" thickBot="1"/>
    <row r="1229" ht="12" hidden="1" thickBot="1"/>
    <row r="1230" ht="12" hidden="1" thickBot="1"/>
    <row r="1231" ht="12" hidden="1" thickBot="1"/>
    <row r="1232" ht="12" hidden="1" thickBot="1"/>
    <row r="1233" ht="12" hidden="1" thickBot="1"/>
    <row r="1234" ht="12" hidden="1" thickBot="1"/>
    <row r="1235" ht="12" hidden="1" thickBot="1"/>
    <row r="1236" ht="12" hidden="1" thickBot="1"/>
    <row r="1237" ht="12" hidden="1" thickBot="1"/>
    <row r="1238" ht="12" hidden="1" thickBot="1"/>
    <row r="1239" ht="12" hidden="1" thickBot="1"/>
    <row r="1240" ht="12" hidden="1" thickBot="1"/>
    <row r="1241" ht="12" hidden="1" thickBot="1"/>
    <row r="1242" ht="12" hidden="1" thickBot="1"/>
    <row r="1243" ht="12" hidden="1" thickBot="1"/>
    <row r="1244" ht="12" hidden="1" thickBot="1"/>
    <row r="1245" ht="12" hidden="1" thickBot="1"/>
    <row r="1246" ht="12" hidden="1" thickBot="1"/>
    <row r="1247" ht="12" hidden="1" thickBot="1"/>
    <row r="1248" ht="12" hidden="1" thickBot="1"/>
    <row r="1249" ht="12" hidden="1" thickBot="1"/>
    <row r="1250" ht="12" hidden="1" thickBot="1"/>
    <row r="1251" ht="12" hidden="1" thickBot="1"/>
    <row r="1252" ht="12" hidden="1" thickBot="1"/>
    <row r="1253" ht="12" hidden="1" thickBot="1"/>
    <row r="1254" ht="12" hidden="1" thickBot="1"/>
    <row r="1255" ht="12" hidden="1" thickBot="1"/>
    <row r="1256" ht="12" hidden="1" thickBot="1"/>
    <row r="1257" ht="12" hidden="1" thickBot="1"/>
    <row r="1258" ht="12" hidden="1" thickBot="1"/>
    <row r="1259" ht="12" hidden="1" thickBot="1"/>
    <row r="1260" ht="12" hidden="1" thickBot="1"/>
    <row r="1261" ht="12" hidden="1" thickBot="1"/>
    <row r="1262" ht="12" hidden="1" thickBot="1"/>
    <row r="1263" ht="12" hidden="1" thickBot="1"/>
    <row r="1264" ht="12" hidden="1" thickBot="1"/>
    <row r="1265" ht="12" hidden="1" thickBot="1"/>
    <row r="1266" ht="12" hidden="1" thickBot="1"/>
    <row r="1267" ht="12" hidden="1" thickBot="1"/>
    <row r="1268" ht="12" hidden="1" thickBot="1"/>
    <row r="1269" ht="12" hidden="1" thickBot="1"/>
    <row r="1270" ht="12" hidden="1" thickBot="1"/>
    <row r="1271" ht="12" hidden="1" thickBot="1"/>
    <row r="1272" ht="12" hidden="1" thickBot="1"/>
    <row r="1273" ht="12" hidden="1" thickBot="1"/>
    <row r="1274" ht="12" hidden="1" thickBot="1"/>
    <row r="1275" ht="12" hidden="1" thickBot="1"/>
    <row r="1276" ht="12" hidden="1" thickBot="1"/>
    <row r="1277" ht="12" hidden="1" thickBot="1"/>
    <row r="1278" ht="12" hidden="1" thickBot="1"/>
    <row r="1279" ht="12" hidden="1" thickBot="1"/>
    <row r="1280" ht="12" hidden="1" thickBot="1"/>
    <row r="1281" ht="12" hidden="1" thickBot="1"/>
    <row r="1282" ht="12" hidden="1" thickBot="1"/>
    <row r="1283" ht="12" hidden="1" thickBot="1"/>
    <row r="1284" ht="12" hidden="1" thickBot="1"/>
    <row r="1285" ht="12" hidden="1" thickBot="1"/>
    <row r="1286" ht="12" hidden="1" thickBot="1"/>
    <row r="1287" ht="12" hidden="1" thickBot="1"/>
    <row r="1288" ht="12" hidden="1" thickBot="1"/>
    <row r="1289" ht="12" hidden="1" thickBot="1"/>
    <row r="1290" ht="12" hidden="1" thickBot="1"/>
    <row r="1291" ht="12" hidden="1" thickBot="1"/>
    <row r="1292" ht="12" hidden="1" thickBot="1"/>
    <row r="1293" ht="12" hidden="1" thickBot="1"/>
    <row r="1294" ht="12" hidden="1" thickBot="1"/>
    <row r="1295" ht="12" hidden="1" thickBot="1"/>
    <row r="1296" ht="12" hidden="1" thickBot="1"/>
    <row r="1297" ht="12" hidden="1" thickBot="1"/>
    <row r="1298" ht="12" hidden="1" thickBot="1"/>
    <row r="1299" ht="12" hidden="1" thickBot="1"/>
    <row r="1300" ht="12" hidden="1" thickBot="1"/>
    <row r="1301" ht="12" hidden="1" thickBot="1"/>
    <row r="1302" ht="12" hidden="1" thickBot="1"/>
    <row r="1303" ht="12" hidden="1" thickBot="1"/>
    <row r="1304" ht="12" hidden="1" thickBot="1"/>
    <row r="1305" ht="12" hidden="1" thickBot="1"/>
    <row r="1306" ht="12" hidden="1" thickBot="1"/>
    <row r="1307" ht="12" hidden="1" thickBot="1"/>
    <row r="1308" ht="12" hidden="1" thickBot="1"/>
    <row r="1309" ht="12" hidden="1" thickBot="1"/>
    <row r="1310" ht="12" hidden="1" thickBot="1"/>
    <row r="1311" ht="12" hidden="1" thickBot="1"/>
    <row r="1312" ht="12" hidden="1" thickBot="1"/>
    <row r="1313" ht="12" hidden="1" thickBot="1"/>
    <row r="1314" ht="12" hidden="1" thickBot="1"/>
    <row r="1315" ht="12" hidden="1" thickBot="1"/>
    <row r="1316" ht="12" hidden="1" thickBot="1"/>
    <row r="1317" ht="12" hidden="1" thickBot="1"/>
    <row r="1318" ht="12" hidden="1" thickBot="1"/>
    <row r="1319" ht="12" hidden="1" thickBot="1"/>
    <row r="1320" ht="12" hidden="1" thickBot="1"/>
    <row r="1321" ht="12" hidden="1" thickBot="1"/>
    <row r="1322" ht="12" hidden="1" thickBot="1"/>
    <row r="1323" ht="12" hidden="1" thickBot="1"/>
    <row r="1324" ht="12" hidden="1" thickBot="1"/>
    <row r="1325" ht="12" hidden="1" thickBot="1"/>
    <row r="1326" ht="12" hidden="1" thickBot="1"/>
    <row r="1327" ht="12" hidden="1" thickBot="1"/>
    <row r="1328" ht="12" hidden="1" thickBot="1"/>
    <row r="1329" ht="12" hidden="1" thickBot="1"/>
    <row r="1330" ht="12" hidden="1" thickBot="1"/>
    <row r="1331" ht="12" hidden="1" thickBot="1"/>
    <row r="1332" ht="12" hidden="1" thickBot="1"/>
    <row r="1333" ht="12" hidden="1" thickBot="1"/>
    <row r="1334" ht="12" hidden="1" thickBot="1"/>
    <row r="1335" ht="12" hidden="1" thickBot="1"/>
    <row r="1336" ht="12" hidden="1" thickBot="1"/>
    <row r="1337" ht="12" hidden="1" thickBot="1"/>
    <row r="1338" ht="12" hidden="1" thickBot="1"/>
    <row r="1339" ht="12" hidden="1" thickBot="1"/>
    <row r="1340" ht="12" hidden="1" thickBot="1"/>
    <row r="1341" ht="12" hidden="1" thickBot="1"/>
    <row r="1342" ht="12" hidden="1" thickBot="1">
      <c r="BP1342" s="93"/>
    </row>
    <row r="1343" spans="2:69" ht="14.25" thickBot="1" thickTop="1">
      <c r="B1343" s="66" t="s">
        <v>381</v>
      </c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  <c r="W1343" s="67"/>
      <c r="X1343" s="67"/>
      <c r="Y1343" s="67"/>
      <c r="Z1343" s="67"/>
      <c r="AA1343" s="67"/>
      <c r="AB1343" s="67"/>
      <c r="AC1343" s="67"/>
      <c r="AD1343" s="67"/>
      <c r="AE1343" s="67"/>
      <c r="AF1343" s="67"/>
      <c r="AG1343" s="67"/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  <c r="AU1343" s="67"/>
      <c r="AV1343" s="67"/>
      <c r="AW1343" s="67"/>
      <c r="AX1343" s="67"/>
      <c r="AY1343" s="67"/>
      <c r="AZ1343" s="67"/>
      <c r="BA1343" s="67"/>
      <c r="BB1343" s="67"/>
      <c r="BC1343" s="67"/>
      <c r="BD1343" s="67"/>
      <c r="BE1343" s="67"/>
      <c r="BF1343" s="67"/>
      <c r="BG1343" s="67"/>
      <c r="BH1343" s="67"/>
      <c r="BI1343" s="67"/>
      <c r="BJ1343" s="67"/>
      <c r="BK1343" s="67"/>
      <c r="BL1343" s="67"/>
      <c r="BM1343" s="67"/>
      <c r="BN1343" s="67"/>
      <c r="BO1343" s="67"/>
      <c r="BP1343" s="94"/>
      <c r="BQ1343" s="63"/>
    </row>
    <row r="1344" ht="12" hidden="1" thickTop="1">
      <c r="BP1344" s="95"/>
    </row>
    <row r="1345" ht="11.25" hidden="1"/>
    <row r="1346" ht="11.25" hidden="1"/>
    <row r="1347" ht="11.25" hidden="1"/>
    <row r="1348" ht="11.25" hidden="1"/>
    <row r="1349" ht="11.25" hidden="1"/>
    <row r="1350" ht="11.25" hidden="1"/>
    <row r="1351" ht="11.25" hidden="1"/>
    <row r="1352" ht="11.25" hidden="1"/>
    <row r="1353" ht="11.25" hidden="1"/>
    <row r="1354" ht="11.25" hidden="1"/>
    <row r="1355" ht="12" thickTop="1"/>
  </sheetData>
  <sheetProtection/>
  <mergeCells count="17">
    <mergeCell ref="BM5:BN5"/>
    <mergeCell ref="BM6:BM7"/>
    <mergeCell ref="E6:I6"/>
    <mergeCell ref="Q6:AQ6"/>
    <mergeCell ref="C6:C7"/>
    <mergeCell ref="D6:D7"/>
    <mergeCell ref="BD6:BF6"/>
    <mergeCell ref="B1343:BO1343"/>
    <mergeCell ref="A2:BP3"/>
    <mergeCell ref="BG6:BI6"/>
    <mergeCell ref="BK6:BL6"/>
    <mergeCell ref="AZ6:BC6"/>
    <mergeCell ref="J6:P6"/>
    <mergeCell ref="AR6:AW6"/>
    <mergeCell ref="AX6:AY6"/>
    <mergeCell ref="A402:D402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Szarka Gábor</cp:lastModifiedBy>
  <cp:lastPrinted>2011-04-05T08:45:01Z</cp:lastPrinted>
  <dcterms:created xsi:type="dcterms:W3CDTF">1999-04-28T20:01:57Z</dcterms:created>
  <dcterms:modified xsi:type="dcterms:W3CDTF">2011-04-14T12:25:06Z</dcterms:modified>
  <cp:category/>
  <cp:version/>
  <cp:contentType/>
  <cp:contentStatus/>
</cp:coreProperties>
</file>