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jánlatkérések\"/>
    </mc:Choice>
  </mc:AlternateContent>
  <bookViews>
    <workbookView xWindow="-120" yWindow="-120" windowWidth="19440" windowHeight="15000"/>
  </bookViews>
  <sheets>
    <sheet name="írószer" sheetId="1" r:id="rId1"/>
  </sheets>
  <definedNames>
    <definedName name="_xlnm.Print_Titles" localSheetId="0">írószer!$3:$3</definedName>
  </definedNames>
  <calcPr calcId="152511"/>
</workbook>
</file>

<file path=xl/calcChain.xml><?xml version="1.0" encoding="utf-8"?>
<calcChain xmlns="http://schemas.openxmlformats.org/spreadsheetml/2006/main">
  <c r="AX21" i="1" l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0" i="1"/>
  <c r="A4" i="1"/>
  <c r="B4" i="1"/>
  <c r="A5" i="1"/>
  <c r="B5" i="1"/>
  <c r="C5" i="1"/>
  <c r="A6" i="1"/>
  <c r="B6" i="1"/>
  <c r="AX6" i="1"/>
  <c r="A7" i="1"/>
  <c r="B7" i="1"/>
  <c r="C7" i="1"/>
  <c r="AX7" i="1"/>
  <c r="A8" i="1"/>
  <c r="B8" i="1"/>
  <c r="C8" i="1"/>
  <c r="AX8" i="1"/>
  <c r="A9" i="1"/>
  <c r="B9" i="1"/>
  <c r="C9" i="1"/>
  <c r="AX9" i="1"/>
  <c r="A10" i="1"/>
  <c r="B10" i="1"/>
  <c r="C10" i="1"/>
  <c r="AX10" i="1"/>
  <c r="A11" i="1"/>
  <c r="B11" i="1"/>
  <c r="C11" i="1"/>
  <c r="AX11" i="1"/>
  <c r="A12" i="1"/>
  <c r="B12" i="1"/>
  <c r="C12" i="1"/>
  <c r="AX12" i="1"/>
  <c r="A13" i="1"/>
  <c r="B13" i="1"/>
  <c r="C13" i="1"/>
  <c r="AX13" i="1"/>
  <c r="A14" i="1"/>
  <c r="B14" i="1"/>
  <c r="C14" i="1"/>
  <c r="AX14" i="1"/>
  <c r="A15" i="1"/>
  <c r="B15" i="1"/>
  <c r="C15" i="1"/>
  <c r="AX15" i="1"/>
  <c r="A16" i="1"/>
  <c r="B16" i="1"/>
  <c r="C16" i="1"/>
  <c r="AX16" i="1"/>
  <c r="A17" i="1"/>
  <c r="B17" i="1"/>
  <c r="C17" i="1"/>
  <c r="AX17" i="1"/>
  <c r="A18" i="1"/>
  <c r="B18" i="1"/>
  <c r="C18" i="1"/>
  <c r="AX18" i="1"/>
  <c r="A19" i="1"/>
  <c r="B19" i="1"/>
  <c r="C19" i="1"/>
  <c r="AX19" i="1"/>
  <c r="B20" i="1"/>
  <c r="B25" i="1"/>
  <c r="B26" i="1"/>
  <c r="B27" i="1"/>
  <c r="B28" i="1"/>
  <c r="C30" i="1"/>
  <c r="C32" i="1"/>
  <c r="C33" i="1"/>
  <c r="C34" i="1"/>
  <c r="C37" i="1"/>
  <c r="C38" i="1"/>
  <c r="B39" i="1"/>
  <c r="B40" i="1"/>
  <c r="B41" i="1"/>
  <c r="B42" i="1"/>
  <c r="B43" i="1"/>
  <c r="C43" i="1"/>
  <c r="B44" i="1"/>
  <c r="C44" i="1"/>
  <c r="B45" i="1"/>
  <c r="B46" i="1"/>
  <c r="B47" i="1"/>
  <c r="B48" i="1"/>
  <c r="C48" i="1"/>
  <c r="B49" i="1"/>
  <c r="C49" i="1"/>
  <c r="B50" i="1"/>
  <c r="B52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3" i="1"/>
  <c r="C80" i="1"/>
  <c r="C81" i="1"/>
  <c r="C82" i="1"/>
  <c r="C83" i="1"/>
  <c r="C84" i="1"/>
  <c r="B86" i="1"/>
  <c r="C86" i="1"/>
  <c r="B87" i="1"/>
  <c r="C87" i="1"/>
  <c r="B88" i="1"/>
  <c r="C88" i="1"/>
  <c r="C90" i="1"/>
  <c r="B91" i="1"/>
  <c r="B93" i="1"/>
  <c r="B94" i="1"/>
  <c r="C95" i="1"/>
  <c r="B97" i="1"/>
  <c r="C97" i="1"/>
  <c r="B98" i="1"/>
  <c r="C98" i="1"/>
  <c r="B99" i="1"/>
  <c r="C99" i="1"/>
  <c r="B100" i="1"/>
  <c r="C100" i="1"/>
  <c r="B101" i="1"/>
  <c r="C101" i="1"/>
  <c r="B102" i="1"/>
  <c r="C102" i="1"/>
  <c r="B104" i="1"/>
  <c r="C104" i="1"/>
  <c r="B105" i="1"/>
  <c r="C105" i="1"/>
  <c r="C106" i="1"/>
  <c r="B107" i="1"/>
  <c r="C107" i="1"/>
  <c r="B108" i="1"/>
  <c r="B109" i="1"/>
  <c r="C109" i="1"/>
  <c r="B110" i="1"/>
  <c r="C110" i="1"/>
  <c r="B111" i="1"/>
  <c r="C111" i="1"/>
  <c r="B116" i="1"/>
  <c r="C125" i="1"/>
  <c r="B128" i="1"/>
  <c r="B129" i="1"/>
  <c r="B130" i="1"/>
  <c r="B131" i="1"/>
  <c r="C131" i="1"/>
  <c r="B132" i="1"/>
  <c r="C132" i="1"/>
  <c r="B133" i="1"/>
  <c r="B134" i="1"/>
  <c r="C134" i="1"/>
  <c r="B135" i="1"/>
  <c r="C135" i="1"/>
  <c r="B136" i="1"/>
  <c r="C136" i="1"/>
  <c r="B137" i="1"/>
  <c r="C143" i="1"/>
  <c r="B157" i="1"/>
  <c r="C157" i="1"/>
  <c r="C159" i="1"/>
  <c r="C160" i="1"/>
  <c r="C161" i="1"/>
  <c r="C162" i="1"/>
  <c r="C163" i="1"/>
  <c r="B180" i="1"/>
  <c r="B181" i="1"/>
  <c r="B182" i="1"/>
  <c r="C182" i="1"/>
  <c r="B183" i="1"/>
  <c r="C183" i="1"/>
  <c r="B184" i="1"/>
  <c r="B185" i="1"/>
  <c r="B186" i="1"/>
  <c r="C186" i="1"/>
  <c r="B187" i="1"/>
  <c r="C187" i="1"/>
  <c r="C189" i="1"/>
  <c r="C190" i="1"/>
  <c r="B191" i="1"/>
  <c r="C191" i="1"/>
  <c r="B192" i="1"/>
  <c r="C192" i="1"/>
  <c r="B193" i="1"/>
  <c r="C193" i="1"/>
  <c r="B194" i="1"/>
  <c r="C195" i="1"/>
  <c r="B196" i="1"/>
  <c r="B197" i="1"/>
  <c r="C197" i="1"/>
  <c r="C198" i="1"/>
  <c r="C199" i="1"/>
  <c r="C200" i="1"/>
  <c r="C203" i="1"/>
  <c r="C204" i="1"/>
  <c r="C209" i="1"/>
  <c r="C210" i="1"/>
  <c r="C211" i="1"/>
  <c r="C213" i="1"/>
  <c r="C214" i="1"/>
  <c r="B219" i="1"/>
  <c r="C238" i="1"/>
  <c r="C239" i="1"/>
  <c r="C240" i="1"/>
  <c r="C249" i="1"/>
</calcChain>
</file>

<file path=xl/sharedStrings.xml><?xml version="1.0" encoding="utf-8"?>
<sst xmlns="http://schemas.openxmlformats.org/spreadsheetml/2006/main" count="632" uniqueCount="279">
  <si>
    <t>sorszám</t>
  </si>
  <si>
    <t>szolg.ü.</t>
  </si>
  <si>
    <t>egyéb üzemek</t>
  </si>
  <si>
    <t>irodaházi dolgozók</t>
  </si>
  <si>
    <t xml:space="preserve">raktár  </t>
  </si>
  <si>
    <t>1.</t>
  </si>
  <si>
    <t>DARAB MATRICÁS (NEM FOLYAMATOS !)</t>
  </si>
  <si>
    <t>tek.</t>
  </si>
  <si>
    <t>2.</t>
  </si>
  <si>
    <t>ASZTALI KÖNYÖKLŐ NAPTÁR</t>
  </si>
  <si>
    <t>2021 ÉVRE !</t>
  </si>
  <si>
    <t>db</t>
  </si>
  <si>
    <t>3.</t>
  </si>
  <si>
    <t>ASZTALI NAPTÁR 2022 ÉVRE !</t>
  </si>
  <si>
    <t>FEKFŐ HELYZETŰ (KB. 30X15CM-ES)</t>
  </si>
  <si>
    <t>4.</t>
  </si>
  <si>
    <t>ASZTALI NAPTÁRHÁT</t>
  </si>
  <si>
    <t>FEKFŐ HELYZETŰ (KB. 30X15CM-ES) naptárhoz</t>
  </si>
  <si>
    <t>5.</t>
  </si>
  <si>
    <t>BÉLYEGZŐPÁRNA FESTÉK</t>
  </si>
  <si>
    <t>FEKETE</t>
  </si>
  <si>
    <t>6.</t>
  </si>
  <si>
    <t>KÉK</t>
  </si>
  <si>
    <t>7.</t>
  </si>
  <si>
    <t>15 MM-ES (12db/dob.)</t>
  </si>
  <si>
    <t>dob.</t>
  </si>
  <si>
    <t>8.</t>
  </si>
  <si>
    <t>19 MM-ES (12db/dob.)</t>
  </si>
  <si>
    <t>9.</t>
  </si>
  <si>
    <t>25 MM-ES (12db/dob.)</t>
  </si>
  <si>
    <t>10.</t>
  </si>
  <si>
    <t>32 MM-ES (12db/dob.)</t>
  </si>
  <si>
    <t>11.</t>
  </si>
  <si>
    <t>CERUZABETÉT (PIXIRON) HB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</si>
  <si>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</si>
  <si>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</si>
  <si>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</si>
  <si>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</si>
  <si>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</si>
  <si>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</si>
  <si>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</si>
  <si>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</si>
  <si>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</si>
  <si>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51 MM-ES (12db/dob.)</t>
  </si>
  <si>
    <t>TC4 / FEHÉR SZÍNŰ</t>
  </si>
  <si>
    <t>LC5 / FEHÉR SZÍNŰ</t>
  </si>
  <si>
    <t>LC6 / FEHÉR SZÍNŰ</t>
  </si>
  <si>
    <t>RW</t>
  </si>
  <si>
    <t>BORÍTÉK (ÖNTAPADÓS) SZILIKONOS</t>
  </si>
  <si>
    <t>TB4 /TALPAS</t>
  </si>
  <si>
    <t>21.</t>
  </si>
  <si>
    <t>22.</t>
  </si>
  <si>
    <t>23.</t>
  </si>
  <si>
    <t>DÁTUMBÉLYEGZŐ (TRODAT PRINTY 4810)</t>
  </si>
  <si>
    <t>KISS MÉRETŰ</t>
  </si>
  <si>
    <t>24.</t>
  </si>
  <si>
    <r>
      <t xml:space="preserve">DOSSZIÉ (MŰANYAG HÁTLAPOS) </t>
    </r>
    <r>
      <rPr>
        <sz val="10"/>
        <color indexed="10"/>
        <rFont val="Arial CE"/>
        <family val="1"/>
        <charset val="238"/>
      </rPr>
      <t>TOVÁBB FŰZŐS !</t>
    </r>
  </si>
  <si>
    <t>25.</t>
  </si>
  <si>
    <t>26.</t>
  </si>
  <si>
    <t>SÖTÉTKÉK SZÍNŰ HÁTLAPPAL</t>
  </si>
  <si>
    <t>27.</t>
  </si>
  <si>
    <t>ZÖLD SZÍNŰ HÁTLAPPAL</t>
  </si>
  <si>
    <t>28.</t>
  </si>
  <si>
    <t>29.</t>
  </si>
  <si>
    <t>30.</t>
  </si>
  <si>
    <t>31.</t>
  </si>
  <si>
    <t>ív</t>
  </si>
  <si>
    <t>32.</t>
  </si>
  <si>
    <t>33.</t>
  </si>
  <si>
    <t>34.</t>
  </si>
  <si>
    <t>35.</t>
  </si>
  <si>
    <t>36.</t>
  </si>
  <si>
    <t>37.</t>
  </si>
  <si>
    <t>38.</t>
  </si>
  <si>
    <t>39.</t>
  </si>
  <si>
    <t>ETIKETT CIMKE A/4</t>
  </si>
  <si>
    <t>70,0X36 MM</t>
  </si>
  <si>
    <t>FELÍRÓTÁBLA</t>
  </si>
  <si>
    <t>A/4</t>
  </si>
  <si>
    <t>cso.</t>
  </si>
  <si>
    <t>40.</t>
  </si>
  <si>
    <t>FÉNYMÁSOLÓ PAPÍR (XEROX) 500 ív/cso.</t>
  </si>
  <si>
    <t>41.</t>
  </si>
  <si>
    <t>A/3 (80 GRAMM)</t>
  </si>
  <si>
    <t>42.</t>
  </si>
  <si>
    <t>FÜZET (BEÍRÓ) VONALAS 200 LAPOS - PVC FEDELŰ</t>
  </si>
  <si>
    <t>43.</t>
  </si>
  <si>
    <t>44.</t>
  </si>
  <si>
    <t>45.</t>
  </si>
  <si>
    <t>A/5</t>
  </si>
  <si>
    <t>46.</t>
  </si>
  <si>
    <t>FÜZET (SPIRÁL) KOCKÁS</t>
  </si>
  <si>
    <t>47.</t>
  </si>
  <si>
    <t>48.</t>
  </si>
  <si>
    <t>49.</t>
  </si>
  <si>
    <t>50.</t>
  </si>
  <si>
    <t>51.</t>
  </si>
  <si>
    <t>GÉMKAPOCS TARTÓ (NAGY MÉRETŰ)</t>
  </si>
  <si>
    <t>MÁGNESES</t>
  </si>
  <si>
    <t>52.</t>
  </si>
  <si>
    <t>53.</t>
  </si>
  <si>
    <t>54.</t>
  </si>
  <si>
    <t>GENOTHERMA (LEFŰZHETŐS) VÍZTISZTA !</t>
  </si>
  <si>
    <t>A/4" 210X297 MM</t>
  </si>
  <si>
    <t>55.</t>
  </si>
  <si>
    <t>A/4  230X297 MM  (BŐ A/4 MÉRET !)</t>
  </si>
  <si>
    <t>56.</t>
  </si>
  <si>
    <t>57.</t>
  </si>
  <si>
    <t>GOLYÓSTOLL (4 SZÍNŰ) FÉMHÁZAS</t>
  </si>
  <si>
    <t>KLASSZIKUS  - ÉRINTŐ VÉGŰ !</t>
  </si>
  <si>
    <t>58.</t>
  </si>
  <si>
    <t>KÉK SZÍNŰ</t>
  </si>
  <si>
    <t>59.</t>
  </si>
  <si>
    <t xml:space="preserve">GOLYÓSTOLL (SIGNETTA) </t>
  </si>
  <si>
    <t>FEKETE SZÍNŰ BETÉTTEL</t>
  </si>
  <si>
    <t>60.</t>
  </si>
  <si>
    <t>KÉK SZÍNŰ BETÉTTEL</t>
  </si>
  <si>
    <t>61.</t>
  </si>
  <si>
    <t>PIROS SZÍNŰ BETÉTTEL</t>
  </si>
  <si>
    <t>62.</t>
  </si>
  <si>
    <t>63.</t>
  </si>
  <si>
    <t xml:space="preserve">GOLYÓSTOLL (SOLIDLY) </t>
  </si>
  <si>
    <t>64.</t>
  </si>
  <si>
    <t>65.</t>
  </si>
  <si>
    <t>66.</t>
  </si>
  <si>
    <r>
      <t xml:space="preserve">GOLYÓSTOLL (ZEBRA F-301)" </t>
    </r>
    <r>
      <rPr>
        <sz val="10"/>
        <color indexed="10"/>
        <rFont val="Arial CE"/>
        <family val="1"/>
        <charset val="238"/>
      </rPr>
      <t>EREDETI ZEBRA !</t>
    </r>
  </si>
  <si>
    <t>67.</t>
  </si>
  <si>
    <t>GOLYÓSTOLL (ZEBRA SUPER FINE H8000)</t>
  </si>
  <si>
    <t>68.</t>
  </si>
  <si>
    <t>69.</t>
  </si>
  <si>
    <t>GOLYÓSTOLL (ZSELÉS) PENTEL ENERGEL</t>
  </si>
  <si>
    <t xml:space="preserve">0,7 MM-ES KÉK SZÍNŰ BETÉTTEL </t>
  </si>
  <si>
    <t>70.</t>
  </si>
  <si>
    <t xml:space="preserve">0,7 MM-ES FEKETE SZÍNŰ BETÉTTEL </t>
  </si>
  <si>
    <t>IRATRENDEZŐ (ÉLVÉDŐS) HERLITZ</t>
  </si>
  <si>
    <t>71.</t>
  </si>
  <si>
    <t>GOLYÓSTOLL BETÉT (ZEBRA F301) RÚGÓS</t>
  </si>
  <si>
    <t xml:space="preserve">KÉK SZÍNŰ </t>
  </si>
  <si>
    <t>72.</t>
  </si>
  <si>
    <t>73.</t>
  </si>
  <si>
    <t>GOLYÓSTOLL BETÉT (SOLIDLY) X18</t>
  </si>
  <si>
    <t xml:space="preserve">240X12"                             </t>
  </si>
  <si>
    <t>74.</t>
  </si>
  <si>
    <t>GOLYÓSTOLL BETÉT (PENTEL ENERGÉL)</t>
  </si>
  <si>
    <t>0,7 MM KÉK SZÍNŰ</t>
  </si>
  <si>
    <t>75.</t>
  </si>
  <si>
    <t>76.</t>
  </si>
  <si>
    <t>HIBAJAVÍTÓ FESTÉK (ECSETES)</t>
  </si>
  <si>
    <t>HÍGÍTÓ NÉLKÜLI</t>
  </si>
  <si>
    <t>77.</t>
  </si>
  <si>
    <t>HIBAJAVÍTÓ ROLLER (FOROFFICE TIPUSÚ !)</t>
  </si>
  <si>
    <t>78.</t>
  </si>
  <si>
    <t>HIBAJAVÍTÓ TOLL (PENTEL)</t>
  </si>
  <si>
    <t>0,7,MM-ES</t>
  </si>
  <si>
    <t>79.</t>
  </si>
  <si>
    <t>80.</t>
  </si>
  <si>
    <t>FEHÉR SZÍNŰ 5 CM-ES</t>
  </si>
  <si>
    <t>RAGASZTÓ SZALAG (CELLUX)+TÉPŐ</t>
  </si>
  <si>
    <t>81.</t>
  </si>
  <si>
    <t>FEHÉR SZÍNŰ 7, 5 CM-ES</t>
  </si>
  <si>
    <t>82.</t>
  </si>
  <si>
    <t>ZÖLD SZÍNŰ 5 CM-ES</t>
  </si>
  <si>
    <t>83.</t>
  </si>
  <si>
    <t>ZÖLD SZÍNŰ 7,5 CM-ES</t>
  </si>
  <si>
    <t>84.</t>
  </si>
  <si>
    <t>85.</t>
  </si>
  <si>
    <t>KÉK SZÍNŰ 5 CM-ES</t>
  </si>
  <si>
    <t xml:space="preserve">IRATRENDEZŐ (TOKOS) </t>
  </si>
  <si>
    <t>A/6</t>
  </si>
  <si>
    <t>A/7</t>
  </si>
  <si>
    <t>A/8</t>
  </si>
  <si>
    <t>86.</t>
  </si>
  <si>
    <t>87.</t>
  </si>
  <si>
    <t>88.</t>
  </si>
  <si>
    <t>A/4 - KÉK SZÍNŰ</t>
  </si>
  <si>
    <t>89.</t>
  </si>
  <si>
    <t>A/4 - ZÖLD SZÍNŰ</t>
  </si>
  <si>
    <t>90.</t>
  </si>
  <si>
    <t>A/4 - NARANCS SZÍNŰ</t>
  </si>
  <si>
    <t>91.</t>
  </si>
  <si>
    <t>92.</t>
  </si>
  <si>
    <t>A/4 - NATUR</t>
  </si>
  <si>
    <t>93.</t>
  </si>
  <si>
    <t>IRATRENDEZŐ TÁSKA (HARMÓNIKÁS BELSŐRÉSZ)</t>
  </si>
  <si>
    <t>DELI 5556 TIPUSÚ (FOGANTYÚS, OLDALT PATENTOS)</t>
  </si>
  <si>
    <t>94.</t>
  </si>
  <si>
    <t>95.</t>
  </si>
  <si>
    <t>96.</t>
  </si>
  <si>
    <t>ROSTIRON (ALKOHOLOS) VASTAG</t>
  </si>
  <si>
    <t>KÖRHEGYŰ-ZÖLD</t>
  </si>
  <si>
    <t>MAPPA (VILLÁMZÁRAS) FEKETE SZÍNŰ</t>
  </si>
  <si>
    <t>97.</t>
  </si>
  <si>
    <t>KÖTÖZŐZSINEG</t>
  </si>
  <si>
    <t>98.</t>
  </si>
  <si>
    <t>LAPSZÉLJELÖLŐ  (MAG OFFICE) NYÍL FORMA</t>
  </si>
  <si>
    <t>5X25 DB-OS 12MMX45MM  ART N.5564005-62</t>
  </si>
  <si>
    <t>99.</t>
  </si>
  <si>
    <t>LAPSZÉLJELÖLŐ (PAPIRBÓL) POST IT</t>
  </si>
  <si>
    <t>20X50MM ( NEON SZÍNBEN!)</t>
  </si>
  <si>
    <t>100.</t>
  </si>
  <si>
    <t>LYUKASZTÓGÉP (SAX)</t>
  </si>
  <si>
    <t>JOBB MINŐSÉGŰ !</t>
  </si>
  <si>
    <t>101.</t>
  </si>
  <si>
    <t>LYUKASZTÓGÉP (ESSELTE D60)</t>
  </si>
  <si>
    <t>102.</t>
  </si>
  <si>
    <t>A/4 FEKVŐ HELYZETŰ</t>
  </si>
  <si>
    <t>103.</t>
  </si>
  <si>
    <t>A/4 ÁLLÓ HELYZETŰ</t>
  </si>
  <si>
    <t>PAPÍRSZALVÉTA (FEHÉR SZÍNŰ)</t>
  </si>
  <si>
    <t>MINŐSÉGI !</t>
  </si>
  <si>
    <t>104.</t>
  </si>
  <si>
    <t xml:space="preserve">MŰANYAG, OLDALT PATENTOS TASAK </t>
  </si>
  <si>
    <t>A/4 / SZÍNES</t>
  </si>
  <si>
    <t>105.</t>
  </si>
  <si>
    <t>A/4 / FEHÉR SZÍNŰ</t>
  </si>
  <si>
    <t>106.</t>
  </si>
  <si>
    <t>A/4 / SZÜRKE SZÍNŰ</t>
  </si>
  <si>
    <t>107.</t>
  </si>
  <si>
    <t>PAPÍRVÁGÓ OLLÓ</t>
  </si>
  <si>
    <t>KÖZEPES MÉRETŰ</t>
  </si>
  <si>
    <t>108.</t>
  </si>
  <si>
    <t>RAGASZTÓ (PILLANATRAGASZTÓ)</t>
  </si>
  <si>
    <t>TÉPŐTÖMB (ONIX)ÖNTAPADÓS</t>
  </si>
  <si>
    <t>TÉPŐTÖMB (POST-IT) ÖNTAPADÓS</t>
  </si>
  <si>
    <t>TŰZŐGÉP</t>
  </si>
  <si>
    <t>STANDARD - JÓ MINŐSÉGŰ !</t>
  </si>
  <si>
    <t>STANLEY</t>
  </si>
  <si>
    <t>TŰZŐGÉP KAPOCS</t>
  </si>
  <si>
    <t>10-KICSI</t>
  </si>
  <si>
    <t>TŰZŐGÉP KAPOCS 1000 db /doboz</t>
  </si>
  <si>
    <t xml:space="preserve">LEPORELLÓS 240 MMX8"                </t>
  </si>
  <si>
    <t>RAGASZTÓ SZALAG (CELLUX+TÉPŐ)</t>
  </si>
  <si>
    <t>NAGY TEKERCS 19MM-ES</t>
  </si>
  <si>
    <t>RAGASZTÓ SZALAG (HAVANNA) BARNA</t>
  </si>
  <si>
    <t>5CM SZÉLES</t>
  </si>
  <si>
    <t>NAGY TEKERCS (HAVANNA MÉRET)</t>
  </si>
  <si>
    <t>ROSTIRON  (VIZES BÁZISÚ) VÉKONY</t>
  </si>
  <si>
    <t>PENTEL ULTRA FINE KÉK</t>
  </si>
  <si>
    <t>PENTEL ULTRA FINE PIROS</t>
  </si>
  <si>
    <t>PENTEL ULTRA FINE FEKETE</t>
  </si>
  <si>
    <t>ROSTIRON (ALKOHOLOS)</t>
  </si>
  <si>
    <t>EDDING 140S FEKETE</t>
  </si>
  <si>
    <t>EDDING 140S KÉK</t>
  </si>
  <si>
    <t>EDDING 140S PIROS</t>
  </si>
  <si>
    <t>KÖRHEGYŰ-FEKETE</t>
  </si>
  <si>
    <t>KÖRHEGYŰ-KÉK</t>
  </si>
  <si>
    <t>KÖRHEGYŰ-PIROS</t>
  </si>
  <si>
    <t>VÁGOTTHEGYŰ-KÉK</t>
  </si>
  <si>
    <t>VÁGOTTHEGYŰ-PIROS</t>
  </si>
  <si>
    <t>VÁGOTTHEGYŰ-FEKETE</t>
  </si>
  <si>
    <t>SZALAGOS IROMÁNYFEDÉL</t>
  </si>
  <si>
    <t>SZÖVEGKIEMELŐ (FABER CASTELL TEXTLINER)</t>
  </si>
  <si>
    <t>NARANCS</t>
  </si>
  <si>
    <t>SÁRGA</t>
  </si>
  <si>
    <t>RÓZSASZÍN</t>
  </si>
  <si>
    <t>ZÖLD</t>
  </si>
  <si>
    <t>TÉPŐTÖMB (FEHÉR)  KEMÉNY LAPKÁS !</t>
  </si>
  <si>
    <t>127X075 MM</t>
  </si>
  <si>
    <t>TÉRKÉPTŰ</t>
  </si>
  <si>
    <t>TŰZŐGÉP (NORMÁL KAPCSOS) JÓ MINŐSÉGŰ !</t>
  </si>
  <si>
    <t>24/6-OS MÉRETŰ KAPCSOS</t>
  </si>
  <si>
    <t>TŰZŐGÉP KAPOCS 1000 db /doboz  JÓ MINŐSÉGŰ !!!</t>
  </si>
  <si>
    <t>24/6-NORMÁL (MEMORIS-PRECIOUS !)</t>
  </si>
  <si>
    <t>VONALZÓ (MŰANYAG) ÁTLÁTSZÓ</t>
  </si>
  <si>
    <t xml:space="preserve">30 CM-ES </t>
  </si>
  <si>
    <t>ZSEBNOTESZ (SPIRÁLFŰZÉSES)</t>
  </si>
  <si>
    <t>ZSEBSZÁMOLÓGÉP</t>
  </si>
  <si>
    <t>CASIO MS-20S</t>
  </si>
  <si>
    <t>SZÍNESCERUZA (JÓ MINŐSÉGŰ!)</t>
  </si>
  <si>
    <t>12 SZÍN/DOBOZ</t>
  </si>
  <si>
    <t>CERUZABETÉT (PIXIRON) B</t>
  </si>
  <si>
    <t>50 CM-ES</t>
  </si>
  <si>
    <t xml:space="preserve">anyag megnevezés </t>
  </si>
  <si>
    <t>egyéb megnevezés,tipus, méret</t>
  </si>
  <si>
    <t>mennyiség</t>
  </si>
  <si>
    <t>egységár (Ft)</t>
  </si>
  <si>
    <t>érték (Ft)</t>
  </si>
  <si>
    <t>2021  2. féléves írószer árajánlat bekérő</t>
  </si>
  <si>
    <t>összesen: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</si>
</sst>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0"/>
      <color indexed="10"/>
      <name val="Arial CE"/>
      <family val="1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indexed="10"/>
      <name val="Arial CE"/>
      <charset val="238"/>
    </font>
    <font>
      <b/>
      <sz val="8"/>
      <color indexed="6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30"/>
      <name val="Arial CE"/>
      <charset val="238"/>
    </font>
    <font>
      <b/>
      <sz val="8"/>
      <color indexed="17"/>
      <name val="Arial CE"/>
      <charset val="238"/>
    </font>
    <font>
      <b/>
      <sz val="8"/>
      <color indexed="53"/>
      <name val="Arial CE"/>
      <charset val="238"/>
    </font>
    <font>
      <b/>
      <sz val="10"/>
      <color indexed="5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1" xfId="0" applyFont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4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/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/>
    <xf numFmtId="0" fontId="10" fillId="3" borderId="4" xfId="0" applyFont="1" applyFill="1" applyBorder="1"/>
    <xf numFmtId="0" fontId="12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0" xfId="0" applyFont="1" applyFill="1" applyBorder="1"/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6" fillId="0" borderId="1" xfId="0" applyFont="1" applyBorder="1"/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Continuous"/>
    </xf>
    <xf numFmtId="0" fontId="4" fillId="3" borderId="5" xfId="0" applyFont="1" applyFill="1" applyBorder="1" applyAlignment="1"/>
    <xf numFmtId="0" fontId="13" fillId="3" borderId="3" xfId="0" applyFont="1" applyFill="1" applyBorder="1" applyAlignment="1">
      <alignment horizontal="centerContinuous"/>
    </xf>
    <xf numFmtId="0" fontId="13" fillId="3" borderId="4" xfId="0" applyFont="1" applyFill="1" applyBorder="1" applyAlignment="1">
      <alignment horizontal="centerContinuous"/>
    </xf>
    <xf numFmtId="0" fontId="14" fillId="3" borderId="3" xfId="0" applyFont="1" applyFill="1" applyBorder="1" applyAlignment="1">
      <alignment horizontal="centerContinuous"/>
    </xf>
    <xf numFmtId="0" fontId="14" fillId="3" borderId="7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5" fillId="3" borderId="3" xfId="0" applyFont="1" applyFill="1" applyBorder="1" applyAlignment="1">
      <alignment horizontal="centerContinuous"/>
    </xf>
    <xf numFmtId="0" fontId="16" fillId="3" borderId="4" xfId="0" applyFont="1" applyFill="1" applyBorder="1" applyAlignment="1">
      <alignment horizontal="centerContinuous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10" xfId="0" applyFont="1" applyFill="1" applyBorder="1"/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8" xfId="0" applyBorder="1" applyAlignment="1"/>
    <xf numFmtId="0" fontId="5" fillId="3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9" xfId="0" applyBorder="1" applyAlignment="1"/>
    <xf numFmtId="0" fontId="4" fillId="3" borderId="3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81"/>
  <sheetViews>
    <sheetView tabSelected="1" zoomScale="110" workbookViewId="0">
      <selection activeCell="BB1" sqref="BB1:HJ65536"/>
    </sheetView>
  </sheetViews>
  <sheetFormatPr defaultRowHeight="11.25" x14ac:dyDescent="0.2"/>
  <cols>
    <col min="1" max="1" width="7.28515625" style="20" customWidth="1"/>
    <col min="2" max="2" width="43" style="1" customWidth="1"/>
    <col min="3" max="3" width="37.5703125" style="1" customWidth="1"/>
    <col min="4" max="4" width="4" style="11" hidden="1" customWidth="1"/>
    <col min="5" max="6" width="3.85546875" style="11" hidden="1" customWidth="1"/>
    <col min="7" max="7" width="3.5703125" style="11" hidden="1" customWidth="1"/>
    <col min="8" max="8" width="3.7109375" style="11" hidden="1" customWidth="1"/>
    <col min="9" max="9" width="3.85546875" style="11" hidden="1" customWidth="1"/>
    <col min="10" max="10" width="3.7109375" style="11" hidden="1" customWidth="1"/>
    <col min="11" max="11" width="3.5703125" style="11" hidden="1" customWidth="1"/>
    <col min="12" max="12" width="3.85546875" style="11" hidden="1" customWidth="1"/>
    <col min="13" max="13" width="3.7109375" style="11" hidden="1" customWidth="1"/>
    <col min="14" max="15" width="4" style="11" hidden="1" customWidth="1"/>
    <col min="16" max="17" width="3.85546875" style="11" hidden="1" customWidth="1"/>
    <col min="18" max="18" width="3.5703125" style="11" hidden="1" customWidth="1"/>
    <col min="19" max="19" width="0.28515625" style="11" hidden="1" customWidth="1"/>
    <col min="20" max="20" width="3.85546875" style="11" hidden="1" customWidth="1"/>
    <col min="21" max="21" width="3.42578125" style="12" hidden="1" customWidth="1"/>
    <col min="22" max="28" width="3.42578125" style="11" hidden="1" customWidth="1"/>
    <col min="29" max="29" width="3.5703125" style="11" hidden="1" customWidth="1"/>
    <col min="30" max="30" width="3.28515625" style="11" hidden="1" customWidth="1"/>
    <col min="31" max="31" width="3.28515625" style="22" hidden="1" customWidth="1"/>
    <col min="32" max="32" width="3.42578125" style="23" hidden="1" customWidth="1"/>
    <col min="33" max="33" width="3.42578125" style="14" hidden="1" customWidth="1"/>
    <col min="34" max="34" width="3.42578125" style="23" hidden="1" customWidth="1"/>
    <col min="35" max="35" width="3.42578125" style="11" hidden="1" customWidth="1"/>
    <col min="36" max="36" width="3.42578125" style="23" hidden="1" customWidth="1"/>
    <col min="37" max="37" width="3.42578125" style="11" hidden="1" customWidth="1"/>
    <col min="38" max="40" width="3.5703125" style="11" hidden="1" customWidth="1"/>
    <col min="41" max="42" width="3.42578125" style="11" hidden="1" customWidth="1"/>
    <col min="43" max="44" width="3.42578125" style="15" hidden="1" customWidth="1"/>
    <col min="45" max="46" width="3.42578125" style="11" hidden="1" customWidth="1"/>
    <col min="47" max="47" width="3" style="11" hidden="1" customWidth="1"/>
    <col min="48" max="49" width="3.42578125" style="11" hidden="1" customWidth="1"/>
    <col min="50" max="50" width="6.5703125" style="11" customWidth="1"/>
    <col min="51" max="51" width="5.5703125" style="42" customWidth="1"/>
    <col min="52" max="52" width="10.7109375" style="23" customWidth="1"/>
    <col min="53" max="53" width="11" style="1" customWidth="1"/>
    <col min="54" max="217" width="0" style="1" hidden="1" customWidth="1"/>
    <col min="218" max="218" width="0.140625" style="1" hidden="1" customWidth="1"/>
    <col min="219" max="16384" width="9.140625" style="1"/>
  </cols>
  <sheetData>
    <row r="1" spans="1:53" ht="12.75" x14ac:dyDescent="0.2">
      <c r="A1" s="45" t="s">
        <v>277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</row>
    <row r="2" spans="1:53" s="2" customFormat="1" ht="12.75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50"/>
    </row>
    <row r="3" spans="1:53" s="11" customFormat="1" ht="12.75" customHeight="1" x14ac:dyDescent="0.2">
      <c r="A3" s="26" t="s">
        <v>0</v>
      </c>
      <c r="B3" s="27" t="s">
        <v>272</v>
      </c>
      <c r="C3" s="21" t="s">
        <v>273</v>
      </c>
      <c r="D3" s="28" t="s">
        <v>1</v>
      </c>
      <c r="E3" s="29"/>
      <c r="F3" s="30" t="s">
        <v>2</v>
      </c>
      <c r="G3" s="31"/>
      <c r="H3" s="32"/>
      <c r="I3" s="33" t="s">
        <v>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6" t="s">
        <v>4</v>
      </c>
      <c r="AW3" s="37"/>
      <c r="AX3" s="43" t="s">
        <v>274</v>
      </c>
      <c r="AY3" s="44"/>
      <c r="AZ3" s="10" t="s">
        <v>275</v>
      </c>
      <c r="BA3" s="10" t="s">
        <v>276</v>
      </c>
    </row>
    <row r="4" spans="1:53" s="4" customFormat="1" hidden="1" x14ac:dyDescent="0.2">
      <c r="A4" s="3" t="str">
        <f>"09962"</f>
        <v>09962</v>
      </c>
      <c r="B4" s="4" t="str">
        <f>"AJÁNDÉK TASAK"</f>
        <v>AJÁNDÉK TASAK</v>
      </c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6"/>
      <c r="W4" s="6"/>
      <c r="X4" s="6"/>
      <c r="Y4" s="6"/>
      <c r="Z4" s="6"/>
      <c r="AA4" s="6"/>
      <c r="AB4" s="6"/>
      <c r="AC4" s="6"/>
      <c r="AD4" s="6"/>
      <c r="AE4" s="8"/>
      <c r="AF4" s="6"/>
      <c r="AG4" s="8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6"/>
      <c r="AT4" s="6"/>
      <c r="AU4" s="6"/>
      <c r="AV4" s="6"/>
      <c r="AW4" s="6"/>
      <c r="AX4" s="6"/>
      <c r="AY4" s="41"/>
      <c r="AZ4" s="6"/>
    </row>
    <row r="5" spans="1:53" s="4" customFormat="1" hidden="1" x14ac:dyDescent="0.2">
      <c r="A5" s="3" t="str">
        <f>"07442"</f>
        <v>07442</v>
      </c>
      <c r="B5" s="4" t="str">
        <f>"ALÁÍRÓKÖNYV (A4)"</f>
        <v>ALÁÍRÓKÖNYV (A4)</v>
      </c>
      <c r="C5" s="4" t="str">
        <f>"SAVARIA"</f>
        <v>SAVARIA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E5" s="8"/>
      <c r="AF5" s="6"/>
      <c r="AG5" s="8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6"/>
      <c r="AT5" s="6"/>
      <c r="AU5" s="6"/>
      <c r="AV5" s="6"/>
      <c r="AW5" s="6"/>
      <c r="AX5" s="6"/>
      <c r="AY5" s="41"/>
      <c r="AZ5" s="6"/>
    </row>
    <row r="6" spans="1:53" s="2" customFormat="1" hidden="1" x14ac:dyDescent="0.2">
      <c r="A6" s="3" t="str">
        <f>"09263"</f>
        <v>09263</v>
      </c>
      <c r="B6" s="4" t="str">
        <f>"ARCHIVÁLÓ KONTÉNER"</f>
        <v>ARCHIVÁLÓ KONTÉNER</v>
      </c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  <c r="Y6" s="11"/>
      <c r="Z6" s="11"/>
      <c r="AA6" s="11"/>
      <c r="AB6" s="11"/>
      <c r="AC6" s="11"/>
      <c r="AD6" s="11"/>
      <c r="AE6" s="5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>
        <f t="shared" ref="AX6:AX19" si="0">SUM(D6:AW6)</f>
        <v>0</v>
      </c>
      <c r="AY6" s="42"/>
      <c r="AZ6" s="11"/>
    </row>
    <row r="7" spans="1:53" s="2" customFormat="1" hidden="1" x14ac:dyDescent="0.2">
      <c r="A7" s="3" t="str">
        <f>"07596"</f>
        <v>07596</v>
      </c>
      <c r="B7" s="4" t="str">
        <f>"ÁTÍRÓTÖMB"</f>
        <v>ÁTÍRÓTÖMB</v>
      </c>
      <c r="C7" s="4" t="str">
        <f>"A/5 (50X3)"</f>
        <v>A/5 (50X3)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  <c r="X7" s="11"/>
      <c r="Y7" s="11"/>
      <c r="Z7" s="11"/>
      <c r="AA7" s="11"/>
      <c r="AB7" s="11"/>
      <c r="AC7" s="11"/>
      <c r="AD7" s="11"/>
      <c r="AE7" s="5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>
        <f t="shared" si="0"/>
        <v>0</v>
      </c>
      <c r="AY7" s="42"/>
      <c r="AZ7" s="11"/>
    </row>
    <row r="8" spans="1:53" s="2" customFormat="1" hidden="1" x14ac:dyDescent="0.2">
      <c r="A8" s="3" t="str">
        <f>"11697"</f>
        <v>11697</v>
      </c>
      <c r="B8" s="4" t="str">
        <f>"ÁTÍRÓTÖMB (ÖNÁTÍRÓS)"</f>
        <v>ÁTÍRÓTÖMB (ÖNÁTÍRÓS)</v>
      </c>
      <c r="C8" s="4" t="str">
        <f>"A/4 (50X2)"</f>
        <v>A/4 (50X2)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>
        <f t="shared" si="0"/>
        <v>0</v>
      </c>
      <c r="AY8" s="42"/>
      <c r="AZ8" s="11"/>
    </row>
    <row r="9" spans="1:53" s="4" customFormat="1" hidden="1" x14ac:dyDescent="0.2">
      <c r="A9" s="3" t="str">
        <f>"08078"</f>
        <v>08078</v>
      </c>
      <c r="B9" s="4" t="str">
        <f>"BELFÖLDI KIKÜLDETÉSI RENDELVÉNY"</f>
        <v>BELFÖLDI KIKÜLDETÉSI RENDELVÉNY</v>
      </c>
      <c r="C9" s="4" t="str">
        <f>"(B.18-70/új)"</f>
        <v>(B.18-70/új)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6"/>
      <c r="AC9" s="6"/>
      <c r="AD9" s="6"/>
      <c r="AE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1">
        <f t="shared" si="0"/>
        <v>0</v>
      </c>
      <c r="AY9" s="42"/>
      <c r="AZ9" s="6"/>
    </row>
    <row r="10" spans="1:53" s="4" customFormat="1" hidden="1" x14ac:dyDescent="0.2">
      <c r="A10" s="3" t="str">
        <f>"13629"</f>
        <v>13629</v>
      </c>
      <c r="B10" s="4" t="str">
        <f>"BÉLYEGZŐ"</f>
        <v>BÉLYEGZŐ</v>
      </c>
      <c r="C10" s="4" t="str">
        <f>"COLOP 20"</f>
        <v>COLOP 20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11">
        <f t="shared" si="0"/>
        <v>0</v>
      </c>
      <c r="AY10" s="42"/>
      <c r="AZ10" s="6"/>
    </row>
    <row r="11" spans="1:53" s="4" customFormat="1" hidden="1" x14ac:dyDescent="0.2">
      <c r="A11" s="3" t="str">
        <f>"09947"</f>
        <v>09947</v>
      </c>
      <c r="B11" s="4" t="str">
        <f>"BÉLYEGZŐ (DÁTUM)"</f>
        <v>BÉLYEGZŐ (DÁTUM)</v>
      </c>
      <c r="C11" s="4" t="str">
        <f>"COLOP S120"</f>
        <v>COLOP S120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6"/>
      <c r="Y11" s="6"/>
      <c r="Z11" s="6"/>
      <c r="AA11" s="6"/>
      <c r="AB11" s="6"/>
      <c r="AC11" s="6"/>
      <c r="AD11" s="6"/>
      <c r="AE11" s="5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1">
        <f t="shared" si="0"/>
        <v>0</v>
      </c>
      <c r="AY11" s="42"/>
      <c r="AZ11" s="6"/>
    </row>
    <row r="12" spans="1:53" s="4" customFormat="1" hidden="1" x14ac:dyDescent="0.2">
      <c r="A12" s="3" t="str">
        <f>"08618"</f>
        <v>08618</v>
      </c>
      <c r="B12" s="4" t="str">
        <f t="shared" ref="B12:B19" si="1">"BÉLYEGZŐPÁRNA"</f>
        <v>BÉLYEGZŐPÁRNA</v>
      </c>
      <c r="C12" s="4" t="str">
        <f>"COLOP BP. 4912"</f>
        <v>COLOP BP. 4912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6"/>
      <c r="AA12" s="6"/>
      <c r="AB12" s="6"/>
      <c r="AC12" s="6"/>
      <c r="AD12" s="6"/>
      <c r="AE12" s="5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1">
        <f t="shared" si="0"/>
        <v>0</v>
      </c>
      <c r="AY12" s="42"/>
      <c r="AZ12" s="6"/>
    </row>
    <row r="13" spans="1:53" s="4" customFormat="1" hidden="1" x14ac:dyDescent="0.2">
      <c r="A13" s="3" t="str">
        <f>"08617"</f>
        <v>08617</v>
      </c>
      <c r="B13" s="4" t="str">
        <f t="shared" si="1"/>
        <v>BÉLYEGZŐPÁRNA</v>
      </c>
      <c r="C13" s="4" t="str">
        <f>"COLOP BP. 4913"</f>
        <v>COLOP BP. 4913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  <c r="AD13" s="6"/>
      <c r="AE13" s="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1">
        <f t="shared" si="0"/>
        <v>0</v>
      </c>
      <c r="AY13" s="42"/>
      <c r="AZ13" s="6"/>
    </row>
    <row r="14" spans="1:53" s="4" customFormat="1" hidden="1" x14ac:dyDescent="0.2">
      <c r="A14" s="3" t="str">
        <f>"10905"</f>
        <v>10905</v>
      </c>
      <c r="B14" s="4" t="str">
        <f t="shared" si="1"/>
        <v>BÉLYEGZŐPÁRNA</v>
      </c>
      <c r="C14" s="4" t="str">
        <f>"COLOP E 10"</f>
        <v>COLOP E 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6"/>
      <c r="AB14" s="6"/>
      <c r="AC14" s="6"/>
      <c r="AD14" s="6"/>
      <c r="AE14" s="5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1">
        <f t="shared" si="0"/>
        <v>0</v>
      </c>
      <c r="AY14" s="42"/>
      <c r="AZ14" s="6"/>
    </row>
    <row r="15" spans="1:53" s="4" customFormat="1" hidden="1" x14ac:dyDescent="0.2">
      <c r="A15" s="3" t="str">
        <f>"10906"</f>
        <v>10906</v>
      </c>
      <c r="B15" s="4" t="str">
        <f t="shared" si="1"/>
        <v>BÉLYEGZŐPÁRNA</v>
      </c>
      <c r="C15" s="4" t="str">
        <f>"COLOP E 30"</f>
        <v>COLOP E 30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6"/>
      <c r="Y15" s="6"/>
      <c r="Z15" s="6"/>
      <c r="AA15" s="6"/>
      <c r="AB15" s="6"/>
      <c r="AC15" s="6"/>
      <c r="AD15" s="6"/>
      <c r="AE15" s="5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11">
        <f t="shared" si="0"/>
        <v>0</v>
      </c>
      <c r="AY15" s="42"/>
      <c r="AZ15" s="6"/>
    </row>
    <row r="16" spans="1:53" s="4" customFormat="1" hidden="1" x14ac:dyDescent="0.2">
      <c r="A16" s="3" t="str">
        <f>"08573"</f>
        <v>08573</v>
      </c>
      <c r="B16" s="4" t="str">
        <f t="shared" si="1"/>
        <v>BÉLYEGZŐPÁRNA</v>
      </c>
      <c r="C16" s="4" t="str">
        <f>"COLOP E 40"</f>
        <v>COLOP E 40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6"/>
      <c r="AB16" s="6"/>
      <c r="AC16" s="6"/>
      <c r="AD16" s="6"/>
      <c r="AE16" s="5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11">
        <f t="shared" si="0"/>
        <v>0</v>
      </c>
      <c r="AY16" s="42"/>
      <c r="AZ16" s="6"/>
    </row>
    <row r="17" spans="1:52" s="4" customFormat="1" hidden="1" x14ac:dyDescent="0.2">
      <c r="A17" s="3" t="str">
        <f>"12655"</f>
        <v>12655</v>
      </c>
      <c r="B17" s="4" t="str">
        <f t="shared" si="1"/>
        <v>BÉLYEGZŐPÁRNA</v>
      </c>
      <c r="C17" s="4" t="str">
        <f>"KORES"</f>
        <v>KORES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6"/>
      <c r="Y17" s="6"/>
      <c r="Z17" s="6"/>
      <c r="AA17" s="6"/>
      <c r="AB17" s="6"/>
      <c r="AC17" s="6"/>
      <c r="AD17" s="6"/>
      <c r="AE17" s="5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1">
        <f t="shared" si="0"/>
        <v>0</v>
      </c>
      <c r="AY17" s="42"/>
      <c r="AZ17" s="6"/>
    </row>
    <row r="18" spans="1:52" s="4" customFormat="1" hidden="1" x14ac:dyDescent="0.2">
      <c r="A18" s="3" t="str">
        <f>"13304"</f>
        <v>13304</v>
      </c>
      <c r="B18" s="4" t="str">
        <f t="shared" si="1"/>
        <v>BÉLYEGZŐPÁRNA</v>
      </c>
      <c r="C18" s="4" t="str">
        <f>"LACO"</f>
        <v>LACO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6"/>
      <c r="Y18" s="6"/>
      <c r="Z18" s="6"/>
      <c r="AA18" s="6"/>
      <c r="AB18" s="6"/>
      <c r="AC18" s="6"/>
      <c r="AD18" s="6"/>
      <c r="AE18" s="5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11">
        <f t="shared" si="0"/>
        <v>0</v>
      </c>
      <c r="AY18" s="42"/>
      <c r="AZ18" s="6"/>
    </row>
    <row r="19" spans="1:52" s="4" customFormat="1" hidden="1" x14ac:dyDescent="0.2">
      <c r="A19" s="3" t="str">
        <f>"12490"</f>
        <v>12490</v>
      </c>
      <c r="B19" s="4" t="str">
        <f t="shared" si="1"/>
        <v>BÉLYEGZŐPÁRNA</v>
      </c>
      <c r="C19" s="4" t="str">
        <f>"TRODAT 4912"</f>
        <v>TRODAT 4912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6"/>
      <c r="Y19" s="6"/>
      <c r="Z19" s="6"/>
      <c r="AA19" s="6"/>
      <c r="AB19" s="6"/>
      <c r="AC19" s="6"/>
      <c r="AD19" s="6"/>
      <c r="AE19" s="5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1">
        <f t="shared" si="0"/>
        <v>0</v>
      </c>
      <c r="AY19" s="42"/>
      <c r="AZ19" s="6"/>
    </row>
    <row r="20" spans="1:52" s="4" customFormat="1" x14ac:dyDescent="0.2">
      <c r="A20" s="3" t="s">
        <v>5</v>
      </c>
      <c r="B20" s="4" t="str">
        <f>"ÁRAZÓSZALAG"</f>
        <v>ÁRAZÓSZALAG</v>
      </c>
      <c r="C20" s="4" t="s">
        <v>6</v>
      </c>
      <c r="D20" s="6">
        <v>10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11">
        <f>SUM(D20:AW20)</f>
        <v>10</v>
      </c>
      <c r="AY20" s="41" t="s">
        <v>7</v>
      </c>
      <c r="AZ20" s="6"/>
    </row>
    <row r="21" spans="1:52" s="2" customFormat="1" x14ac:dyDescent="0.2">
      <c r="A21" s="3" t="s">
        <v>8</v>
      </c>
      <c r="B21" s="4" t="s">
        <v>9</v>
      </c>
      <c r="C21" s="4" t="s">
        <v>10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5"/>
      <c r="AF21" s="6"/>
      <c r="AG21" s="6"/>
      <c r="AH21" s="6"/>
      <c r="AI21" s="6">
        <v>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11">
        <f t="shared" ref="AX21:AX70" si="2">SUM(D21:AW21)</f>
        <v>4</v>
      </c>
      <c r="AY21" s="42" t="s">
        <v>11</v>
      </c>
      <c r="AZ21" s="11"/>
    </row>
    <row r="22" spans="1:52" s="2" customFormat="1" x14ac:dyDescent="0.2">
      <c r="A22" s="3" t="s">
        <v>12</v>
      </c>
      <c r="B22" s="4" t="s">
        <v>13</v>
      </c>
      <c r="C22" s="4" t="s">
        <v>14</v>
      </c>
      <c r="D22" s="6">
        <v>5</v>
      </c>
      <c r="E22" s="6">
        <v>3</v>
      </c>
      <c r="F22" s="6"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</v>
      </c>
      <c r="R22" s="6"/>
      <c r="S22" s="6"/>
      <c r="T22" s="6"/>
      <c r="U22" s="7"/>
      <c r="V22" s="6"/>
      <c r="W22" s="6"/>
      <c r="X22" s="6"/>
      <c r="Y22" s="6"/>
      <c r="Z22" s="6"/>
      <c r="AA22" s="6"/>
      <c r="AB22" s="6"/>
      <c r="AC22" s="6"/>
      <c r="AD22" s="6"/>
      <c r="AE22" s="5"/>
      <c r="AF22" s="6"/>
      <c r="AG22" s="6"/>
      <c r="AH22" s="6"/>
      <c r="AI22" s="6">
        <v>4</v>
      </c>
      <c r="AJ22" s="6">
        <v>1</v>
      </c>
      <c r="AK22" s="6">
        <v>1</v>
      </c>
      <c r="AL22" s="6">
        <v>1</v>
      </c>
      <c r="AM22" s="6"/>
      <c r="AN22" s="6"/>
      <c r="AO22" s="6"/>
      <c r="AP22" s="6">
        <v>1</v>
      </c>
      <c r="AQ22" s="6"/>
      <c r="AR22" s="6"/>
      <c r="AS22" s="6">
        <v>1</v>
      </c>
      <c r="AT22" s="6">
        <v>1</v>
      </c>
      <c r="AU22" s="6">
        <v>1</v>
      </c>
      <c r="AV22" s="6">
        <v>4</v>
      </c>
      <c r="AW22" s="6">
        <v>10</v>
      </c>
      <c r="AX22" s="11">
        <f t="shared" si="2"/>
        <v>51</v>
      </c>
      <c r="AY22" s="42" t="s">
        <v>11</v>
      </c>
      <c r="AZ22" s="11"/>
    </row>
    <row r="23" spans="1:52" s="2" customFormat="1" x14ac:dyDescent="0.2">
      <c r="A23" s="3" t="s">
        <v>15</v>
      </c>
      <c r="B23" s="4" t="s">
        <v>16</v>
      </c>
      <c r="C23" s="4" t="s">
        <v>17</v>
      </c>
      <c r="D23" s="6">
        <v>5</v>
      </c>
      <c r="E23" s="6">
        <v>3</v>
      </c>
      <c r="F23" s="6">
        <v>10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5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>
        <v>1</v>
      </c>
      <c r="AV23" s="6"/>
      <c r="AW23" s="6">
        <v>10</v>
      </c>
      <c r="AX23" s="11">
        <f t="shared" si="2"/>
        <v>29</v>
      </c>
      <c r="AY23" s="42" t="s">
        <v>11</v>
      </c>
      <c r="AZ23" s="11"/>
    </row>
    <row r="24" spans="1:52" s="2" customFormat="1" x14ac:dyDescent="0.2">
      <c r="A24" s="3" t="s">
        <v>18</v>
      </c>
      <c r="B24" s="2" t="s">
        <v>19</v>
      </c>
      <c r="C24" s="2" t="s">
        <v>20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6"/>
      <c r="Y24" s="6"/>
      <c r="Z24" s="6"/>
      <c r="AA24" s="6"/>
      <c r="AB24" s="6"/>
      <c r="AC24" s="6"/>
      <c r="AD24" s="6"/>
      <c r="AE24" s="5"/>
      <c r="AF24" s="6"/>
      <c r="AG24" s="6"/>
      <c r="AH24" s="6"/>
      <c r="AI24" s="6">
        <v>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11">
        <f t="shared" si="2"/>
        <v>1</v>
      </c>
      <c r="AY24" s="42" t="s">
        <v>11</v>
      </c>
      <c r="AZ24" s="11"/>
    </row>
    <row r="25" spans="1:52" s="2" customFormat="1" x14ac:dyDescent="0.2">
      <c r="A25" s="3" t="s">
        <v>21</v>
      </c>
      <c r="B25" s="4" t="str">
        <f>"BINDER CSIPESZ (CLIPS)"</f>
        <v>BINDER CSIPESZ (CLIPS)</v>
      </c>
      <c r="C25" s="4" t="s">
        <v>24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6"/>
      <c r="Y25" s="6"/>
      <c r="Z25" s="6"/>
      <c r="AA25" s="6"/>
      <c r="AB25" s="6"/>
      <c r="AC25" s="6"/>
      <c r="AD25" s="6"/>
      <c r="AE25" s="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11">
        <f t="shared" si="2"/>
        <v>1</v>
      </c>
      <c r="AY25" s="42" t="s">
        <v>25</v>
      </c>
      <c r="AZ25" s="11"/>
    </row>
    <row r="26" spans="1:52" s="2" customFormat="1" x14ac:dyDescent="0.2">
      <c r="A26" s="3" t="s">
        <v>23</v>
      </c>
      <c r="B26" s="4" t="str">
        <f>"BINDER CSIPESZ (CLIPS)"</f>
        <v>BINDER CSIPESZ (CLIPS)</v>
      </c>
      <c r="C26" s="4" t="s">
        <v>27</v>
      </c>
      <c r="D26" s="6"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6"/>
      <c r="Y26" s="6"/>
      <c r="Z26" s="6"/>
      <c r="AA26" s="6"/>
      <c r="AB26" s="6"/>
      <c r="AC26" s="6"/>
      <c r="AD26" s="6"/>
      <c r="AE26" s="5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>
        <v>2</v>
      </c>
      <c r="AS26" s="6"/>
      <c r="AT26" s="6"/>
      <c r="AU26" s="6"/>
      <c r="AV26" s="6"/>
      <c r="AW26" s="6"/>
      <c r="AX26" s="11">
        <f t="shared" si="2"/>
        <v>3</v>
      </c>
      <c r="AY26" s="42" t="s">
        <v>25</v>
      </c>
      <c r="AZ26" s="11"/>
    </row>
    <row r="27" spans="1:52" s="2" customFormat="1" x14ac:dyDescent="0.2">
      <c r="A27" s="3" t="s">
        <v>26</v>
      </c>
      <c r="B27" s="4" t="str">
        <f>"BINDER CSIPESZ (CLIPS)"</f>
        <v>BINDER CSIPESZ (CLIPS)</v>
      </c>
      <c r="C27" s="4" t="s">
        <v>29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6"/>
      <c r="W27" s="6"/>
      <c r="X27" s="6"/>
      <c r="Y27" s="6"/>
      <c r="Z27" s="6"/>
      <c r="AA27" s="6"/>
      <c r="AB27" s="6"/>
      <c r="AC27" s="6"/>
      <c r="AD27" s="6"/>
      <c r="AE27" s="5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>
        <v>1</v>
      </c>
      <c r="AS27" s="6"/>
      <c r="AT27" s="6"/>
      <c r="AU27" s="6"/>
      <c r="AV27" s="6"/>
      <c r="AW27" s="6"/>
      <c r="AX27" s="11">
        <f t="shared" si="2"/>
        <v>2</v>
      </c>
      <c r="AY27" s="42" t="s">
        <v>25</v>
      </c>
      <c r="AZ27" s="11"/>
    </row>
    <row r="28" spans="1:52" s="2" customFormat="1" x14ac:dyDescent="0.2">
      <c r="A28" s="3" t="s">
        <v>28</v>
      </c>
      <c r="B28" s="4" t="str">
        <f>"BINDER CSIPESZ (CLIPS)"</f>
        <v>BINDER CSIPESZ (CLIPS)</v>
      </c>
      <c r="C28" s="4" t="s">
        <v>31</v>
      </c>
      <c r="D28" s="6">
        <v>1</v>
      </c>
      <c r="E28" s="6"/>
      <c r="F28" s="6"/>
      <c r="G28" s="6"/>
      <c r="H28" s="6"/>
      <c r="I28" s="6"/>
      <c r="J28" s="6"/>
      <c r="K28" s="6">
        <v>2</v>
      </c>
      <c r="L28" s="6"/>
      <c r="M28" s="6"/>
      <c r="N28" s="6"/>
      <c r="O28" s="6"/>
      <c r="P28" s="6"/>
      <c r="Q28" s="6"/>
      <c r="R28" s="6"/>
      <c r="S28" s="6"/>
      <c r="T28" s="6"/>
      <c r="U28" s="7"/>
      <c r="V28" s="6"/>
      <c r="W28" s="6"/>
      <c r="X28" s="6"/>
      <c r="Y28" s="6"/>
      <c r="Z28" s="6"/>
      <c r="AA28" s="6"/>
      <c r="AB28" s="6"/>
      <c r="AC28" s="6"/>
      <c r="AD28" s="6"/>
      <c r="AE28" s="5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11">
        <f t="shared" si="2"/>
        <v>3</v>
      </c>
      <c r="AY28" s="42" t="s">
        <v>25</v>
      </c>
      <c r="AZ28" s="11"/>
    </row>
    <row r="29" spans="1:52" s="4" customFormat="1" hidden="1" x14ac:dyDescent="0.2">
      <c r="A29" s="3" t="s">
        <v>32</v>
      </c>
      <c r="B29" s="4" t="s">
        <v>33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6"/>
      <c r="X29" s="6"/>
      <c r="Y29" s="6"/>
      <c r="Z29" s="6"/>
      <c r="AA29" s="6"/>
      <c r="AB29" s="6"/>
      <c r="AC29" s="6"/>
      <c r="AD29" s="6"/>
      <c r="AE29" s="5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1">
        <f t="shared" si="2"/>
        <v>0</v>
      </c>
      <c r="AY29" s="42" t="s">
        <v>25</v>
      </c>
      <c r="AZ29" s="6"/>
    </row>
    <row r="30" spans="1:52" s="4" customFormat="1" hidden="1" x14ac:dyDescent="0.2">
      <c r="A30" s="3" t="s">
        <v>34</v>
      </c>
      <c r="B30" s="4" t="s">
        <v>33</v>
      </c>
      <c r="C30" s="4" t="str">
        <f>"DELI 0620"</f>
        <v>DELI 0620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6"/>
      <c r="W30" s="6"/>
      <c r="X30" s="6"/>
      <c r="Y30" s="6"/>
      <c r="Z30" s="6"/>
      <c r="AA30" s="6"/>
      <c r="AB30" s="6"/>
      <c r="AC30" s="6"/>
      <c r="AD30" s="6"/>
      <c r="AE30" s="5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11">
        <f t="shared" si="2"/>
        <v>0</v>
      </c>
      <c r="AY30" s="42" t="s">
        <v>25</v>
      </c>
      <c r="AZ30" s="6"/>
    </row>
    <row r="31" spans="1:52" s="4" customFormat="1" hidden="1" x14ac:dyDescent="0.2">
      <c r="A31" s="3" t="s">
        <v>35</v>
      </c>
      <c r="B31" s="4" t="s">
        <v>33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6"/>
      <c r="W31" s="6"/>
      <c r="X31" s="6"/>
      <c r="Y31" s="6"/>
      <c r="Z31" s="6"/>
      <c r="AA31" s="6"/>
      <c r="AB31" s="6"/>
      <c r="AC31" s="6"/>
      <c r="AD31" s="6"/>
      <c r="AE31" s="5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11">
        <f t="shared" si="2"/>
        <v>0</v>
      </c>
      <c r="AY31" s="42" t="s">
        <v>25</v>
      </c>
      <c r="AZ31" s="6"/>
    </row>
    <row r="32" spans="1:52" s="2" customFormat="1" hidden="1" x14ac:dyDescent="0.2">
      <c r="A32" s="3" t="s">
        <v>36</v>
      </c>
      <c r="B32" s="4" t="s">
        <v>33</v>
      </c>
      <c r="C32" s="4" t="str">
        <f>"080X120 CM"</f>
        <v>080X120 CM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6"/>
      <c r="W32" s="6"/>
      <c r="X32" s="6"/>
      <c r="Y32" s="6"/>
      <c r="Z32" s="6"/>
      <c r="AA32" s="6"/>
      <c r="AB32" s="6"/>
      <c r="AC32" s="6"/>
      <c r="AD32" s="6"/>
      <c r="AE32" s="5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11">
        <f t="shared" si="2"/>
        <v>0</v>
      </c>
      <c r="AY32" s="42" t="s">
        <v>25</v>
      </c>
      <c r="AZ32" s="11"/>
    </row>
    <row r="33" spans="1:52" s="2" customFormat="1" hidden="1" x14ac:dyDescent="0.2">
      <c r="A33" s="3" t="s">
        <v>37</v>
      </c>
      <c r="B33" s="4" t="s">
        <v>33</v>
      </c>
      <c r="C33" s="4" t="str">
        <f>"5KG-OS"</f>
        <v>5KG-OS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6"/>
      <c r="W33" s="6"/>
      <c r="X33" s="6"/>
      <c r="Y33" s="6"/>
      <c r="Z33" s="6"/>
      <c r="AA33" s="6"/>
      <c r="AB33" s="6"/>
      <c r="AC33" s="6"/>
      <c r="AD33" s="6"/>
      <c r="AE33" s="5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1">
        <f t="shared" si="2"/>
        <v>0</v>
      </c>
      <c r="AY33" s="42" t="s">
        <v>25</v>
      </c>
      <c r="AZ33" s="11"/>
    </row>
    <row r="34" spans="1:52" s="4" customFormat="1" hidden="1" x14ac:dyDescent="0.2">
      <c r="A34" s="3" t="s">
        <v>38</v>
      </c>
      <c r="B34" s="4" t="s">
        <v>33</v>
      </c>
      <c r="C34" s="4" t="str">
        <f>"A/1"</f>
        <v>A/1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6"/>
      <c r="W34" s="6"/>
      <c r="X34" s="6"/>
      <c r="Y34" s="6"/>
      <c r="Z34" s="6"/>
      <c r="AA34" s="6"/>
      <c r="AB34" s="6"/>
      <c r="AC34" s="6"/>
      <c r="AD34" s="6"/>
      <c r="AE34" s="5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11">
        <f t="shared" si="2"/>
        <v>0</v>
      </c>
      <c r="AY34" s="42" t="s">
        <v>25</v>
      </c>
      <c r="AZ34" s="6"/>
    </row>
    <row r="35" spans="1:52" s="4" customFormat="1" hidden="1" x14ac:dyDescent="0.2">
      <c r="A35" s="3" t="s">
        <v>39</v>
      </c>
      <c r="B35" s="4" t="s">
        <v>33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6"/>
      <c r="W35" s="6"/>
      <c r="X35" s="6"/>
      <c r="Y35" s="6"/>
      <c r="Z35" s="6"/>
      <c r="AA35" s="6"/>
      <c r="AB35" s="6"/>
      <c r="AC35" s="6"/>
      <c r="AD35" s="6"/>
      <c r="AE35" s="5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1">
        <f t="shared" si="2"/>
        <v>0</v>
      </c>
      <c r="AY35" s="42" t="s">
        <v>25</v>
      </c>
      <c r="AZ35" s="6"/>
    </row>
    <row r="36" spans="1:52" s="2" customFormat="1" hidden="1" x14ac:dyDescent="0.2">
      <c r="A36" s="3" t="s">
        <v>40</v>
      </c>
      <c r="B36" s="4" t="s">
        <v>33</v>
      </c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6"/>
      <c r="W36" s="6"/>
      <c r="X36" s="6"/>
      <c r="Y36" s="6"/>
      <c r="Z36" s="6"/>
      <c r="AA36" s="6"/>
      <c r="AB36" s="6"/>
      <c r="AC36" s="6"/>
      <c r="AD36" s="6"/>
      <c r="AE36" s="5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1">
        <f t="shared" si="2"/>
        <v>0</v>
      </c>
      <c r="AY36" s="42" t="s">
        <v>25</v>
      </c>
      <c r="AZ36" s="11"/>
    </row>
    <row r="37" spans="1:52" s="2" customFormat="1" hidden="1" x14ac:dyDescent="0.2">
      <c r="A37" s="3" t="s">
        <v>41</v>
      </c>
      <c r="B37" s="4" t="s">
        <v>33</v>
      </c>
      <c r="C37" s="4" t="str">
        <f>"A/4 (20/40-ES)"</f>
        <v>A/4 (20/40-ES)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6"/>
      <c r="W37" s="6"/>
      <c r="X37" s="6"/>
      <c r="Y37" s="6"/>
      <c r="Z37" s="6"/>
      <c r="AA37" s="6"/>
      <c r="AB37" s="6"/>
      <c r="AC37" s="6"/>
      <c r="AD37" s="6"/>
      <c r="AE37" s="5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11">
        <f t="shared" si="2"/>
        <v>0</v>
      </c>
      <c r="AY37" s="42" t="s">
        <v>25</v>
      </c>
      <c r="AZ37" s="11"/>
    </row>
    <row r="38" spans="1:52" s="2" customFormat="1" hidden="1" x14ac:dyDescent="0.2">
      <c r="A38" s="3" t="s">
        <v>42</v>
      </c>
      <c r="B38" s="4" t="s">
        <v>33</v>
      </c>
      <c r="C38" s="4" t="str">
        <f>"A/4 (40/80-AS)"</f>
        <v>A/4 (40/80-AS)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6"/>
      <c r="W38" s="6"/>
      <c r="X38" s="6"/>
      <c r="Y38" s="6"/>
      <c r="Z38" s="6"/>
      <c r="AA38" s="6"/>
      <c r="AB38" s="6"/>
      <c r="AC38" s="6"/>
      <c r="AD38" s="6"/>
      <c r="AE38" s="5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1">
        <f t="shared" si="2"/>
        <v>0</v>
      </c>
      <c r="AY38" s="42" t="s">
        <v>25</v>
      </c>
      <c r="AZ38" s="11"/>
    </row>
    <row r="39" spans="1:52" s="2" customFormat="1" x14ac:dyDescent="0.2">
      <c r="A39" s="3" t="s">
        <v>30</v>
      </c>
      <c r="B39" s="4" t="str">
        <f>"BINDER CSIPESZ (CLIPS)"</f>
        <v>BINDER CSIPESZ (CLIPS)</v>
      </c>
      <c r="C39" s="4" t="s">
        <v>43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6"/>
      <c r="W39" s="6"/>
      <c r="X39" s="6"/>
      <c r="Y39" s="6"/>
      <c r="Z39" s="6"/>
      <c r="AA39" s="6"/>
      <c r="AB39" s="6"/>
      <c r="AC39" s="6"/>
      <c r="AD39" s="6"/>
      <c r="AE39" s="5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>
        <v>2</v>
      </c>
      <c r="AU39" s="6"/>
      <c r="AV39" s="6"/>
      <c r="AW39" s="6"/>
      <c r="AX39" s="11">
        <f t="shared" si="2"/>
        <v>2</v>
      </c>
      <c r="AY39" s="42" t="s">
        <v>25</v>
      </c>
      <c r="AZ39" s="11"/>
    </row>
    <row r="40" spans="1:52" s="2" customFormat="1" x14ac:dyDescent="0.2">
      <c r="A40" s="3" t="s">
        <v>32</v>
      </c>
      <c r="B40" s="4" t="str">
        <f t="shared" ref="B40:B50" si="3">"BORÍTÉK (ÖNTAPADÓS) SZILIKONOS"</f>
        <v>BORÍTÉK (ÖNTAPADÓS) SZILIKONOS</v>
      </c>
      <c r="C40" s="4" t="s">
        <v>44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6"/>
      <c r="W40" s="6"/>
      <c r="X40" s="6"/>
      <c r="Y40" s="6"/>
      <c r="Z40" s="6"/>
      <c r="AA40" s="6"/>
      <c r="AB40" s="6"/>
      <c r="AC40" s="6"/>
      <c r="AD40" s="6"/>
      <c r="AE40" s="5"/>
      <c r="AF40" s="6"/>
      <c r="AG40" s="6"/>
      <c r="AH40" s="6"/>
      <c r="AI40" s="6">
        <v>100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11">
        <f t="shared" si="2"/>
        <v>100</v>
      </c>
      <c r="AY40" s="42" t="s">
        <v>11</v>
      </c>
      <c r="AZ40" s="11"/>
    </row>
    <row r="41" spans="1:52" s="2" customFormat="1" x14ac:dyDescent="0.2">
      <c r="A41" s="3" t="s">
        <v>34</v>
      </c>
      <c r="B41" s="4" t="str">
        <f t="shared" si="3"/>
        <v>BORÍTÉK (ÖNTAPADÓS) SZILIKONOS</v>
      </c>
      <c r="C41" s="4" t="s">
        <v>45</v>
      </c>
      <c r="D41" s="6"/>
      <c r="E41" s="6"/>
      <c r="F41" s="25">
        <v>1500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5</v>
      </c>
      <c r="R41" s="6"/>
      <c r="S41" s="6"/>
      <c r="T41" s="6"/>
      <c r="U41" s="7"/>
      <c r="V41" s="6"/>
      <c r="W41" s="6"/>
      <c r="X41" s="6"/>
      <c r="Y41" s="6"/>
      <c r="Z41" s="6"/>
      <c r="AA41" s="6"/>
      <c r="AB41" s="6"/>
      <c r="AC41" s="6"/>
      <c r="AD41" s="6"/>
      <c r="AE41" s="5"/>
      <c r="AF41" s="6"/>
      <c r="AG41" s="6"/>
      <c r="AH41" s="6"/>
      <c r="AI41" s="6">
        <v>100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11">
        <f t="shared" si="2"/>
        <v>1605</v>
      </c>
      <c r="AY41" s="42" t="s">
        <v>11</v>
      </c>
      <c r="AZ41" s="11"/>
    </row>
    <row r="42" spans="1:52" s="2" customFormat="1" x14ac:dyDescent="0.2">
      <c r="A42" s="3" t="s">
        <v>35</v>
      </c>
      <c r="B42" s="4" t="str">
        <f t="shared" si="3"/>
        <v>BORÍTÉK (ÖNTAPADÓS) SZILIKONOS</v>
      </c>
      <c r="C42" s="4" t="s">
        <v>46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5</v>
      </c>
      <c r="R42" s="6"/>
      <c r="S42" s="6"/>
      <c r="T42" s="6"/>
      <c r="U42" s="7"/>
      <c r="V42" s="6"/>
      <c r="W42" s="6"/>
      <c r="X42" s="6"/>
      <c r="Y42" s="6"/>
      <c r="Z42" s="6"/>
      <c r="AA42" s="6"/>
      <c r="AB42" s="6"/>
      <c r="AC42" s="6"/>
      <c r="AD42" s="6"/>
      <c r="AE42" s="5"/>
      <c r="AF42" s="6"/>
      <c r="AG42" s="6"/>
      <c r="AH42" s="6"/>
      <c r="AI42" s="6">
        <v>500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1">
        <f t="shared" si="2"/>
        <v>505</v>
      </c>
      <c r="AY42" s="42" t="s">
        <v>11</v>
      </c>
      <c r="AZ42" s="11"/>
    </row>
    <row r="43" spans="1:52" s="2" customFormat="1" hidden="1" x14ac:dyDescent="0.2">
      <c r="A43" s="3"/>
      <c r="B43" s="4" t="str">
        <f t="shared" si="3"/>
        <v>BORÍTÉK (ÖNTAPADÓS) SZILIKONOS</v>
      </c>
      <c r="C43" s="4" t="str">
        <f>"A/4"</f>
        <v>A/4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6"/>
      <c r="W43" s="6"/>
      <c r="X43" s="6"/>
      <c r="Y43" s="6"/>
      <c r="Z43" s="6"/>
      <c r="AA43" s="6"/>
      <c r="AB43" s="6"/>
      <c r="AC43" s="6"/>
      <c r="AD43" s="6"/>
      <c r="AE43" s="5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11">
        <f t="shared" si="2"/>
        <v>0</v>
      </c>
      <c r="AY43" s="42" t="s">
        <v>11</v>
      </c>
      <c r="AZ43" s="11"/>
    </row>
    <row r="44" spans="1:52" s="2" customFormat="1" hidden="1" x14ac:dyDescent="0.2">
      <c r="A44" s="3"/>
      <c r="B44" s="4" t="str">
        <f t="shared" si="3"/>
        <v>BORÍTÉK (ÖNTAPADÓS) SZILIKONOS</v>
      </c>
      <c r="C44" s="4" t="str">
        <f>"A/5"</f>
        <v>A/5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6"/>
      <c r="W44" s="6"/>
      <c r="X44" s="6"/>
      <c r="Y44" s="6"/>
      <c r="Z44" s="6"/>
      <c r="AA44" s="6"/>
      <c r="AB44" s="6"/>
      <c r="AC44" s="6"/>
      <c r="AD44" s="6"/>
      <c r="AE44" s="5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11">
        <f t="shared" si="2"/>
        <v>0</v>
      </c>
      <c r="AY44" s="42" t="s">
        <v>11</v>
      </c>
      <c r="AZ44" s="11"/>
    </row>
    <row r="45" spans="1:52" s="2" customFormat="1" hidden="1" x14ac:dyDescent="0.2">
      <c r="A45" s="3"/>
      <c r="B45" s="4" t="str">
        <f t="shared" si="3"/>
        <v>BORÍTÉK (ÖNTAPADÓS) SZILIKONOS</v>
      </c>
      <c r="C45" s="4" t="s">
        <v>47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6"/>
      <c r="W45" s="6"/>
      <c r="X45" s="6"/>
      <c r="Y45" s="6"/>
      <c r="Z45" s="6"/>
      <c r="AA45" s="6"/>
      <c r="AB45" s="6"/>
      <c r="AC45" s="6"/>
      <c r="AD45" s="6"/>
      <c r="AE45" s="5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11">
        <f t="shared" si="2"/>
        <v>0</v>
      </c>
      <c r="AY45" s="42" t="s">
        <v>11</v>
      </c>
      <c r="AZ45" s="11"/>
    </row>
    <row r="46" spans="1:52" s="2" customFormat="1" hidden="1" x14ac:dyDescent="0.2">
      <c r="A46" s="3"/>
      <c r="B46" s="4" t="str">
        <f t="shared" si="3"/>
        <v>BORÍTÉK (ÖNTAPADÓS) SZILIKONOS</v>
      </c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V46" s="6"/>
      <c r="W46" s="6"/>
      <c r="X46" s="6"/>
      <c r="Y46" s="6"/>
      <c r="Z46" s="6"/>
      <c r="AA46" s="6"/>
      <c r="AB46" s="6"/>
      <c r="AC46" s="6"/>
      <c r="AD46" s="6"/>
      <c r="AE46" s="5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11">
        <f t="shared" si="2"/>
        <v>0</v>
      </c>
      <c r="AY46" s="42" t="s">
        <v>11</v>
      </c>
      <c r="AZ46" s="11"/>
    </row>
    <row r="47" spans="1:52" s="4" customFormat="1" hidden="1" x14ac:dyDescent="0.2">
      <c r="A47" s="3"/>
      <c r="B47" s="4" t="str">
        <f t="shared" si="3"/>
        <v>BORÍTÉK (ÖNTAPADÓS) SZILIKONOS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V47" s="6"/>
      <c r="W47" s="6"/>
      <c r="X47" s="6"/>
      <c r="Y47" s="6"/>
      <c r="Z47" s="6"/>
      <c r="AA47" s="6"/>
      <c r="AB47" s="6"/>
      <c r="AC47" s="6"/>
      <c r="AD47" s="6"/>
      <c r="AE47" s="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1">
        <f t="shared" si="2"/>
        <v>0</v>
      </c>
      <c r="AY47" s="42" t="s">
        <v>11</v>
      </c>
      <c r="AZ47" s="6"/>
    </row>
    <row r="48" spans="1:52" s="4" customFormat="1" hidden="1" x14ac:dyDescent="0.2">
      <c r="A48" s="3"/>
      <c r="B48" s="4" t="str">
        <f t="shared" si="3"/>
        <v>BORÍTÉK (ÖNTAPADÓS) SZILIKONOS</v>
      </c>
      <c r="C48" s="4" t="str">
        <f>"B.318-206"</f>
        <v>B.318-206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6"/>
      <c r="W48" s="6"/>
      <c r="X48" s="6"/>
      <c r="Y48" s="6"/>
      <c r="Z48" s="6"/>
      <c r="AA48" s="6"/>
      <c r="AB48" s="6"/>
      <c r="AC48" s="6"/>
      <c r="AD48" s="6"/>
      <c r="AE48" s="5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11">
        <f t="shared" si="2"/>
        <v>0</v>
      </c>
      <c r="AY48" s="42" t="s">
        <v>11</v>
      </c>
      <c r="AZ48" s="6"/>
    </row>
    <row r="49" spans="1:53" s="4" customFormat="1" hidden="1" x14ac:dyDescent="0.2">
      <c r="A49" s="3"/>
      <c r="B49" s="4" t="str">
        <f t="shared" si="3"/>
        <v>BORÍTÉK (ÖNTAPADÓS) SZILIKONOS</v>
      </c>
      <c r="C49" s="4" t="str">
        <f>"C.18-72"</f>
        <v>C.18-72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6"/>
      <c r="W49" s="6"/>
      <c r="X49" s="6"/>
      <c r="Y49" s="6"/>
      <c r="Z49" s="6"/>
      <c r="AA49" s="6"/>
      <c r="AB49" s="6"/>
      <c r="AC49" s="6"/>
      <c r="AD49" s="6"/>
      <c r="AE49" s="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11">
        <f t="shared" si="2"/>
        <v>0</v>
      </c>
      <c r="AY49" s="42" t="s">
        <v>11</v>
      </c>
      <c r="AZ49" s="6"/>
    </row>
    <row r="50" spans="1:53" s="4" customFormat="1" hidden="1" x14ac:dyDescent="0.2">
      <c r="A50" s="3"/>
      <c r="B50" s="4" t="str">
        <f t="shared" si="3"/>
        <v>BORÍTÉK (ÖNTAPADÓS) SZILIKONOS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6"/>
      <c r="W50" s="6"/>
      <c r="X50" s="6"/>
      <c r="Y50" s="6"/>
      <c r="Z50" s="6"/>
      <c r="AA50" s="6"/>
      <c r="AB50" s="6"/>
      <c r="AC50" s="6"/>
      <c r="AD50" s="6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11">
        <f t="shared" si="2"/>
        <v>0</v>
      </c>
      <c r="AY50" s="42" t="s">
        <v>11</v>
      </c>
      <c r="AZ50" s="6"/>
    </row>
    <row r="51" spans="1:53" s="4" customFormat="1" x14ac:dyDescent="0.2">
      <c r="A51" s="3" t="s">
        <v>36</v>
      </c>
      <c r="B51" s="4" t="s">
        <v>48</v>
      </c>
      <c r="C51" s="4" t="s">
        <v>49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5</v>
      </c>
      <c r="R51" s="6"/>
      <c r="S51" s="6"/>
      <c r="T51" s="6"/>
      <c r="U51" s="7"/>
      <c r="V51" s="6"/>
      <c r="W51" s="6"/>
      <c r="X51" s="6"/>
      <c r="Y51" s="6"/>
      <c r="Z51" s="6"/>
      <c r="AA51" s="6"/>
      <c r="AB51" s="6"/>
      <c r="AC51" s="6"/>
      <c r="AD51" s="6"/>
      <c r="AE51" s="5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11">
        <f t="shared" si="2"/>
        <v>5</v>
      </c>
      <c r="AY51" s="42" t="s">
        <v>11</v>
      </c>
      <c r="AZ51" s="6"/>
    </row>
    <row r="52" spans="1:53" s="2" customFormat="1" x14ac:dyDescent="0.2">
      <c r="A52" s="3" t="s">
        <v>37</v>
      </c>
      <c r="B52" s="4" t="str">
        <f>"CERUZA (ZEBRA) PIXIRON"</f>
        <v>CERUZA (ZEBRA) PIXIRON</v>
      </c>
      <c r="C52" s="4" t="str">
        <f>"0.5 MM"</f>
        <v>0.5 MM</v>
      </c>
      <c r="D52" s="6">
        <v>5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6"/>
      <c r="W52" s="6"/>
      <c r="X52" s="6"/>
      <c r="Y52" s="6"/>
      <c r="Z52" s="6"/>
      <c r="AA52" s="6"/>
      <c r="AB52" s="6"/>
      <c r="AC52" s="6"/>
      <c r="AD52" s="6"/>
      <c r="AE52" s="5"/>
      <c r="AF52" s="6"/>
      <c r="AG52" s="6"/>
      <c r="AH52" s="6"/>
      <c r="AI52" s="6">
        <v>1</v>
      </c>
      <c r="AJ52" s="6">
        <v>1</v>
      </c>
      <c r="AK52" s="6">
        <v>1</v>
      </c>
      <c r="AL52" s="6">
        <v>1</v>
      </c>
      <c r="AM52" s="6"/>
      <c r="AN52" s="6"/>
      <c r="AO52" s="6"/>
      <c r="AP52" s="6">
        <v>2</v>
      </c>
      <c r="AQ52" s="6"/>
      <c r="AR52" s="6"/>
      <c r="AS52" s="6"/>
      <c r="AT52" s="6"/>
      <c r="AU52" s="6"/>
      <c r="AV52" s="6"/>
      <c r="AW52" s="6"/>
      <c r="AX52" s="11">
        <f t="shared" si="2"/>
        <v>11</v>
      </c>
      <c r="AY52" s="42" t="s">
        <v>11</v>
      </c>
      <c r="AZ52" s="11"/>
    </row>
    <row r="53" spans="1:53" s="4" customFormat="1" x14ac:dyDescent="0.2">
      <c r="A53" s="3" t="s">
        <v>38</v>
      </c>
      <c r="B53" s="4" t="s">
        <v>33</v>
      </c>
      <c r="C53" s="4" t="str">
        <f>"0,5 MM"</f>
        <v>0,5 MM</v>
      </c>
      <c r="D53" s="6">
        <v>5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6"/>
      <c r="W53" s="6"/>
      <c r="X53" s="6"/>
      <c r="Y53" s="6"/>
      <c r="Z53" s="6"/>
      <c r="AA53" s="6"/>
      <c r="AB53" s="6"/>
      <c r="AC53" s="6"/>
      <c r="AD53" s="6"/>
      <c r="AE53" s="5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>
        <v>2</v>
      </c>
      <c r="AQ53" s="6"/>
      <c r="AR53" s="6"/>
      <c r="AS53" s="6"/>
      <c r="AT53" s="6"/>
      <c r="AU53" s="6"/>
      <c r="AV53" s="6"/>
      <c r="AW53" s="6"/>
      <c r="AX53" s="11">
        <f t="shared" si="2"/>
        <v>7</v>
      </c>
      <c r="AY53" s="42" t="s">
        <v>11</v>
      </c>
      <c r="AZ53" s="6"/>
    </row>
    <row r="54" spans="1:53" x14ac:dyDescent="0.2">
      <c r="A54" s="3" t="s">
        <v>39</v>
      </c>
      <c r="B54" s="4" t="s">
        <v>53</v>
      </c>
      <c r="C54" s="4" t="s">
        <v>54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6"/>
      <c r="W54" s="6"/>
      <c r="X54" s="6"/>
      <c r="Y54" s="6"/>
      <c r="Z54" s="6"/>
      <c r="AA54" s="6"/>
      <c r="AB54" s="6"/>
      <c r="AC54" s="6"/>
      <c r="AD54" s="6"/>
      <c r="AE54" s="8"/>
      <c r="AF54" s="6"/>
      <c r="AG54" s="8"/>
      <c r="AH54" s="6"/>
      <c r="AI54" s="6">
        <v>1</v>
      </c>
      <c r="AJ54" s="6"/>
      <c r="AK54" s="6"/>
      <c r="AL54" s="6"/>
      <c r="AM54" s="6"/>
      <c r="AN54" s="6"/>
      <c r="AO54" s="6"/>
      <c r="AP54" s="6"/>
      <c r="AQ54" s="9"/>
      <c r="AR54" s="9"/>
      <c r="AS54" s="6"/>
      <c r="AT54" s="6"/>
      <c r="AU54" s="6"/>
      <c r="AV54" s="6"/>
      <c r="AW54" s="6"/>
      <c r="AX54" s="11">
        <f t="shared" si="2"/>
        <v>1</v>
      </c>
      <c r="AY54" s="42" t="s">
        <v>11</v>
      </c>
      <c r="AZ54" s="11"/>
      <c r="BA54" s="2"/>
    </row>
    <row r="55" spans="1:53" s="4" customFormat="1" ht="12.75" hidden="1" x14ac:dyDescent="0.2">
      <c r="A55" s="3"/>
      <c r="B55" s="4" t="s">
        <v>56</v>
      </c>
      <c r="C55" s="4" t="str">
        <f>"99,1X57 MM"</f>
        <v>99,1X57 MM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6"/>
      <c r="W55" s="6"/>
      <c r="X55" s="6"/>
      <c r="Y55" s="6"/>
      <c r="Z55" s="6"/>
      <c r="AA55" s="6"/>
      <c r="AB55" s="6"/>
      <c r="AC55" s="6"/>
      <c r="AD55" s="6"/>
      <c r="AE55" s="5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1">
        <f t="shared" si="2"/>
        <v>0</v>
      </c>
      <c r="AY55" s="41"/>
      <c r="AZ55" s="6"/>
    </row>
    <row r="56" spans="1:53" s="4" customFormat="1" ht="12.75" hidden="1" x14ac:dyDescent="0.2">
      <c r="A56" s="3"/>
      <c r="B56" s="4" t="s">
        <v>56</v>
      </c>
      <c r="C56" s="4" t="str">
        <f>"115X086 MM"</f>
        <v>115X086 MM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6"/>
      <c r="W56" s="6"/>
      <c r="X56" s="6"/>
      <c r="Y56" s="6"/>
      <c r="Z56" s="6"/>
      <c r="AA56" s="6"/>
      <c r="AB56" s="6"/>
      <c r="AC56" s="6"/>
      <c r="AD56" s="6"/>
      <c r="AE56" s="5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11">
        <f t="shared" si="2"/>
        <v>0</v>
      </c>
      <c r="AY56" s="41"/>
      <c r="AZ56" s="6"/>
    </row>
    <row r="57" spans="1:53" s="4" customFormat="1" ht="12.75" hidden="1" x14ac:dyDescent="0.2">
      <c r="A57" s="3"/>
      <c r="B57" s="4" t="s">
        <v>56</v>
      </c>
      <c r="C57" s="4" t="str">
        <f>"63,5X38,1 MM"</f>
        <v>63,5X38,1 MM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6"/>
      <c r="W57" s="6"/>
      <c r="X57" s="6"/>
      <c r="Y57" s="6"/>
      <c r="Z57" s="6"/>
      <c r="AA57" s="6"/>
      <c r="AB57" s="6"/>
      <c r="AC57" s="6"/>
      <c r="AD57" s="6"/>
      <c r="AE57" s="5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11">
        <f t="shared" si="2"/>
        <v>0</v>
      </c>
      <c r="AY57" s="41"/>
      <c r="AZ57" s="6"/>
    </row>
    <row r="58" spans="1:53" s="4" customFormat="1" ht="12.75" hidden="1" x14ac:dyDescent="0.2">
      <c r="A58" s="3"/>
      <c r="B58" s="4" t="s">
        <v>56</v>
      </c>
      <c r="C58" s="4" t="str">
        <f>"89,0X35,0 MM"</f>
        <v>89,0X35,0 MM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6"/>
      <c r="W58" s="6"/>
      <c r="X58" s="6"/>
      <c r="Y58" s="6"/>
      <c r="Z58" s="6"/>
      <c r="AA58" s="6"/>
      <c r="AB58" s="6"/>
      <c r="AC58" s="6"/>
      <c r="AD58" s="6"/>
      <c r="AE58" s="5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11">
        <f t="shared" si="2"/>
        <v>0</v>
      </c>
      <c r="AY58" s="41"/>
      <c r="AZ58" s="6"/>
    </row>
    <row r="59" spans="1:53" s="4" customFormat="1" ht="12.75" hidden="1" x14ac:dyDescent="0.2">
      <c r="A59" s="3"/>
      <c r="B59" s="4" t="s">
        <v>56</v>
      </c>
      <c r="C59" s="4" t="str">
        <f>"210X148 MM"</f>
        <v>210X148 MM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6"/>
      <c r="W59" s="6"/>
      <c r="X59" s="6"/>
      <c r="Y59" s="6"/>
      <c r="Z59" s="6"/>
      <c r="AA59" s="6"/>
      <c r="AB59" s="6"/>
      <c r="AC59" s="6"/>
      <c r="AD59" s="6"/>
      <c r="AE59" s="5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11">
        <f t="shared" si="2"/>
        <v>0</v>
      </c>
      <c r="AY59" s="41"/>
      <c r="AZ59" s="6"/>
    </row>
    <row r="60" spans="1:53" s="4" customFormat="1" ht="12.75" hidden="1" x14ac:dyDescent="0.2">
      <c r="A60" s="3"/>
      <c r="B60" s="4" t="s">
        <v>56</v>
      </c>
      <c r="C60" s="4" t="str">
        <f>"210X297 MM"</f>
        <v>210X297 MM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6"/>
      <c r="AB60" s="6"/>
      <c r="AC60" s="6"/>
      <c r="AD60" s="6"/>
      <c r="AE60" s="5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11">
        <f t="shared" si="2"/>
        <v>0</v>
      </c>
      <c r="AY60" s="41"/>
      <c r="AZ60" s="6"/>
    </row>
    <row r="61" spans="1:53" s="4" customFormat="1" ht="12.75" hidden="1" x14ac:dyDescent="0.2">
      <c r="A61" s="3"/>
      <c r="B61" s="4" t="s">
        <v>56</v>
      </c>
      <c r="C61" s="4" t="str">
        <f>"PANASONIC KX-FA 54X"</f>
        <v>PANASONIC KX-FA 54X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6"/>
      <c r="W61" s="6"/>
      <c r="X61" s="6"/>
      <c r="Y61" s="6"/>
      <c r="Z61" s="6"/>
      <c r="AA61" s="6"/>
      <c r="AB61" s="6"/>
      <c r="AC61" s="6"/>
      <c r="AD61" s="6"/>
      <c r="AE61" s="5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11">
        <f t="shared" si="2"/>
        <v>0</v>
      </c>
      <c r="AY61" s="41"/>
      <c r="AZ61" s="6"/>
    </row>
    <row r="62" spans="1:53" s="2" customFormat="1" ht="12.75" hidden="1" x14ac:dyDescent="0.2">
      <c r="A62" s="3"/>
      <c r="B62" s="4" t="s">
        <v>56</v>
      </c>
      <c r="C62" s="4" t="str">
        <f>"A/4"</f>
        <v>A/4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6"/>
      <c r="W62" s="6"/>
      <c r="X62" s="6"/>
      <c r="Y62" s="6"/>
      <c r="Z62" s="6"/>
      <c r="AA62" s="6"/>
      <c r="AB62" s="6"/>
      <c r="AC62" s="6"/>
      <c r="AD62" s="6"/>
      <c r="AE62" s="5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11">
        <f t="shared" si="2"/>
        <v>0</v>
      </c>
      <c r="AY62" s="42"/>
      <c r="AZ62" s="11"/>
    </row>
    <row r="63" spans="1:53" s="4" customFormat="1" ht="12.75" hidden="1" x14ac:dyDescent="0.2">
      <c r="A63" s="3"/>
      <c r="B63" s="4" t="s">
        <v>56</v>
      </c>
      <c r="C63" s="4" t="str">
        <f>"TŰZVESZÉLYES TEVÉKENYSÉG VÉGZÉSÉHEZ"</f>
        <v>TŰZVESZÉLYES TEVÉKENYSÉG VÉGZÉSÉHEZ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6"/>
      <c r="W63" s="6"/>
      <c r="X63" s="6"/>
      <c r="Y63" s="6"/>
      <c r="Z63" s="6"/>
      <c r="AA63" s="6"/>
      <c r="AB63" s="6"/>
      <c r="AC63" s="6"/>
      <c r="AD63" s="6"/>
      <c r="AE63" s="5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11">
        <f t="shared" si="2"/>
        <v>0</v>
      </c>
      <c r="AY63" s="41"/>
      <c r="AZ63" s="6"/>
    </row>
    <row r="64" spans="1:53" s="4" customFormat="1" ht="12.75" hidden="1" x14ac:dyDescent="0.2">
      <c r="A64" s="3"/>
      <c r="B64" s="4" t="s">
        <v>56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6"/>
      <c r="W64" s="6"/>
      <c r="X64" s="6"/>
      <c r="Y64" s="6"/>
      <c r="Z64" s="6"/>
      <c r="AA64" s="6"/>
      <c r="AB64" s="6"/>
      <c r="AC64" s="6"/>
      <c r="AD64" s="6"/>
      <c r="AE64" s="5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11">
        <f t="shared" si="2"/>
        <v>0</v>
      </c>
      <c r="AY64" s="41"/>
      <c r="AZ64" s="6"/>
    </row>
    <row r="65" spans="1:52" s="2" customFormat="1" ht="12.75" hidden="1" x14ac:dyDescent="0.2">
      <c r="A65" s="3"/>
      <c r="B65" s="4" t="s">
        <v>56</v>
      </c>
      <c r="C65" s="4" t="str">
        <f>"A/4 (80 GRAMM)"</f>
        <v>A/4 (80 GRAMM)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6"/>
      <c r="W65" s="6"/>
      <c r="X65" s="6"/>
      <c r="Y65" s="6"/>
      <c r="Z65" s="6"/>
      <c r="AA65" s="6"/>
      <c r="AB65" s="6"/>
      <c r="AC65" s="6"/>
      <c r="AD65" s="6"/>
      <c r="AE65" s="5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11">
        <f t="shared" si="2"/>
        <v>0</v>
      </c>
      <c r="AY65" s="42"/>
      <c r="AZ65" s="11"/>
    </row>
    <row r="66" spans="1:52" s="2" customFormat="1" ht="12.75" hidden="1" x14ac:dyDescent="0.2">
      <c r="A66" s="3"/>
      <c r="B66" s="4" t="s">
        <v>56</v>
      </c>
      <c r="C66" s="4" t="str">
        <f>"A/4"</f>
        <v>A/4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6"/>
      <c r="W66" s="6"/>
      <c r="X66" s="6"/>
      <c r="Y66" s="6"/>
      <c r="Z66" s="6"/>
      <c r="AA66" s="6"/>
      <c r="AB66" s="6"/>
      <c r="AC66" s="6"/>
      <c r="AD66" s="6"/>
      <c r="AE66" s="5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11">
        <f t="shared" si="2"/>
        <v>0</v>
      </c>
      <c r="AY66" s="42"/>
      <c r="AZ66" s="11"/>
    </row>
    <row r="67" spans="1:52" s="2" customFormat="1" ht="12.75" hidden="1" x14ac:dyDescent="0.2">
      <c r="A67" s="3"/>
      <c r="B67" s="4" t="s">
        <v>56</v>
      </c>
      <c r="C67" s="4" t="str">
        <f>"A/4 (80 GRAMM)"</f>
        <v>A/4 (80 GRAMM)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6"/>
      <c r="W67" s="6"/>
      <c r="X67" s="6"/>
      <c r="Y67" s="6"/>
      <c r="Z67" s="6"/>
      <c r="AA67" s="6"/>
      <c r="AB67" s="6"/>
      <c r="AC67" s="6"/>
      <c r="AD67" s="6"/>
      <c r="AE67" s="5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11">
        <f t="shared" si="2"/>
        <v>0</v>
      </c>
      <c r="AY67" s="42"/>
      <c r="AZ67" s="11"/>
    </row>
    <row r="68" spans="1:52" s="2" customFormat="1" ht="12.75" hidden="1" x14ac:dyDescent="0.2">
      <c r="A68" s="3"/>
      <c r="B68" s="4" t="s">
        <v>56</v>
      </c>
      <c r="C68" s="4" t="str">
        <f>"A/3 (80 GRAMM)"</f>
        <v>A/3 (80 GRAMM)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6"/>
      <c r="AB68" s="6"/>
      <c r="AC68" s="6"/>
      <c r="AD68" s="6"/>
      <c r="AE68" s="5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11">
        <f t="shared" si="2"/>
        <v>0</v>
      </c>
      <c r="AY68" s="42"/>
      <c r="AZ68" s="11"/>
    </row>
    <row r="69" spans="1:52" s="2" customFormat="1" ht="12.75" hidden="1" x14ac:dyDescent="0.2">
      <c r="A69" s="3"/>
      <c r="B69" s="4" t="s">
        <v>56</v>
      </c>
      <c r="C69" s="4" t="str">
        <f>"A/4 (80 GRAMM)"</f>
        <v>A/4 (80 GRAMM)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6"/>
      <c r="W69" s="6"/>
      <c r="X69" s="6"/>
      <c r="Y69" s="6"/>
      <c r="Z69" s="6"/>
      <c r="AA69" s="6"/>
      <c r="AB69" s="6"/>
      <c r="AC69" s="6"/>
      <c r="AD69" s="6"/>
      <c r="AE69" s="5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11">
        <f t="shared" si="2"/>
        <v>0</v>
      </c>
      <c r="AY69" s="42"/>
      <c r="AZ69" s="11"/>
    </row>
    <row r="70" spans="1:52" s="4" customFormat="1" ht="12.75" x14ac:dyDescent="0.2">
      <c r="A70" s="3" t="s">
        <v>40</v>
      </c>
      <c r="B70" s="4" t="s">
        <v>56</v>
      </c>
      <c r="C70" s="4" t="s">
        <v>59</v>
      </c>
      <c r="D70" s="6">
        <v>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6"/>
      <c r="W70" s="6"/>
      <c r="X70" s="6"/>
      <c r="Y70" s="6"/>
      <c r="Z70" s="6"/>
      <c r="AA70" s="6"/>
      <c r="AB70" s="6"/>
      <c r="AC70" s="6"/>
      <c r="AD70" s="6"/>
      <c r="AE70" s="5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>
        <v>25</v>
      </c>
      <c r="AW70" s="6"/>
      <c r="AX70" s="11">
        <f t="shared" si="2"/>
        <v>30</v>
      </c>
      <c r="AY70" s="42" t="s">
        <v>11</v>
      </c>
      <c r="AZ70" s="6"/>
    </row>
    <row r="71" spans="1:52" s="4" customFormat="1" ht="12.75" hidden="1" x14ac:dyDescent="0.2">
      <c r="A71" s="3"/>
      <c r="B71" s="4" t="s">
        <v>56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6"/>
      <c r="W71" s="6"/>
      <c r="X71" s="6"/>
      <c r="Y71" s="6"/>
      <c r="Z71" s="6"/>
      <c r="AA71" s="6"/>
      <c r="AB71" s="6"/>
      <c r="AC71" s="6"/>
      <c r="AD71" s="6"/>
      <c r="AE71" s="5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11">
        <f t="shared" ref="AX71:AX106" si="4">SUM(D71:AW71)</f>
        <v>0</v>
      </c>
      <c r="AY71" s="41"/>
      <c r="AZ71" s="6"/>
    </row>
    <row r="72" spans="1:52" s="4" customFormat="1" ht="12.75" hidden="1" x14ac:dyDescent="0.2">
      <c r="A72" s="3"/>
      <c r="B72" s="4" t="s">
        <v>56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6"/>
      <c r="W72" s="6"/>
      <c r="X72" s="6"/>
      <c r="Y72" s="6"/>
      <c r="Z72" s="6"/>
      <c r="AA72" s="6"/>
      <c r="AB72" s="6"/>
      <c r="AC72" s="6"/>
      <c r="AD72" s="6"/>
      <c r="AE72" s="5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11">
        <f t="shared" si="4"/>
        <v>0</v>
      </c>
      <c r="AY72" s="41"/>
      <c r="AZ72" s="6"/>
    </row>
    <row r="73" spans="1:52" s="4" customFormat="1" ht="12.75" hidden="1" x14ac:dyDescent="0.2">
      <c r="A73" s="3"/>
      <c r="B73" s="4" t="s">
        <v>56</v>
      </c>
      <c r="C73" s="4" t="str">
        <f>"SHARP ASZTALI SZÁMOLÓGÉPHEZ"</f>
        <v>SHARP ASZTALI SZÁMOLÓGÉPHEZ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6"/>
      <c r="W73" s="6"/>
      <c r="X73" s="6"/>
      <c r="Y73" s="6"/>
      <c r="Z73" s="6"/>
      <c r="AA73" s="6"/>
      <c r="AB73" s="6"/>
      <c r="AC73" s="6"/>
      <c r="AD73" s="6"/>
      <c r="AE73" s="5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11">
        <f t="shared" si="4"/>
        <v>0</v>
      </c>
      <c r="AY73" s="41"/>
      <c r="AZ73" s="6"/>
    </row>
    <row r="74" spans="1:52" s="4" customFormat="1" ht="12.75" hidden="1" x14ac:dyDescent="0.2">
      <c r="A74" s="3"/>
      <c r="B74" s="4" t="s">
        <v>56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6"/>
      <c r="AB74" s="6"/>
      <c r="AC74" s="6"/>
      <c r="AD74" s="6"/>
      <c r="AE74" s="5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1">
        <f t="shared" si="4"/>
        <v>0</v>
      </c>
      <c r="AY74" s="41"/>
      <c r="AZ74" s="6"/>
    </row>
    <row r="75" spans="1:52" s="4" customFormat="1" ht="12.75" hidden="1" x14ac:dyDescent="0.2">
      <c r="A75" s="3"/>
      <c r="B75" s="4" t="s">
        <v>56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6"/>
      <c r="W75" s="6"/>
      <c r="X75" s="6"/>
      <c r="Y75" s="6"/>
      <c r="Z75" s="6"/>
      <c r="AA75" s="6"/>
      <c r="AB75" s="6"/>
      <c r="AC75" s="6"/>
      <c r="AD75" s="6"/>
      <c r="AE75" s="5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11">
        <f t="shared" si="4"/>
        <v>0</v>
      </c>
      <c r="AY75" s="41"/>
      <c r="AZ75" s="6"/>
    </row>
    <row r="76" spans="1:52" s="4" customFormat="1" ht="12.75" hidden="1" x14ac:dyDescent="0.2">
      <c r="A76" s="3"/>
      <c r="B76" s="4" t="s">
        <v>56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V76" s="6"/>
      <c r="W76" s="6"/>
      <c r="X76" s="6"/>
      <c r="Y76" s="6"/>
      <c r="Z76" s="6"/>
      <c r="AA76" s="6"/>
      <c r="AB76" s="6"/>
      <c r="AC76" s="6"/>
      <c r="AD76" s="6"/>
      <c r="AE76" s="5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11">
        <f t="shared" si="4"/>
        <v>0</v>
      </c>
      <c r="AY76" s="41"/>
      <c r="AZ76" s="6"/>
    </row>
    <row r="77" spans="1:52" s="4" customFormat="1" ht="12.75" hidden="1" x14ac:dyDescent="0.2">
      <c r="A77" s="3"/>
      <c r="B77" s="4" t="s">
        <v>56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6"/>
      <c r="W77" s="6"/>
      <c r="X77" s="6"/>
      <c r="Y77" s="6"/>
      <c r="Z77" s="6"/>
      <c r="AA77" s="6"/>
      <c r="AB77" s="6"/>
      <c r="AC77" s="6"/>
      <c r="AD77" s="6"/>
      <c r="AE77" s="5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11">
        <f t="shared" si="4"/>
        <v>0</v>
      </c>
      <c r="AY77" s="41"/>
      <c r="AZ77" s="6"/>
    </row>
    <row r="78" spans="1:52" s="4" customFormat="1" ht="12.75" hidden="1" x14ac:dyDescent="0.2">
      <c r="A78" s="3"/>
      <c r="B78" s="4" t="s">
        <v>56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V78" s="6"/>
      <c r="W78" s="6"/>
      <c r="X78" s="6"/>
      <c r="Y78" s="6"/>
      <c r="Z78" s="6"/>
      <c r="AA78" s="6"/>
      <c r="AB78" s="6"/>
      <c r="AC78" s="6"/>
      <c r="AD78" s="6"/>
      <c r="AE78" s="5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11">
        <f t="shared" si="4"/>
        <v>0</v>
      </c>
      <c r="AY78" s="41"/>
      <c r="AZ78" s="6"/>
    </row>
    <row r="79" spans="1:52" s="2" customFormat="1" ht="12.75" hidden="1" x14ac:dyDescent="0.2">
      <c r="A79" s="3"/>
      <c r="B79" s="4" t="s">
        <v>56</v>
      </c>
      <c r="C79" s="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V79" s="6"/>
      <c r="W79" s="6"/>
      <c r="X79" s="6"/>
      <c r="Y79" s="6"/>
      <c r="Z79" s="6"/>
      <c r="AA79" s="6"/>
      <c r="AB79" s="6"/>
      <c r="AC79" s="6"/>
      <c r="AD79" s="6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11">
        <f t="shared" si="4"/>
        <v>0</v>
      </c>
      <c r="AY79" s="42"/>
      <c r="AZ79" s="11"/>
    </row>
    <row r="80" spans="1:52" s="2" customFormat="1" ht="12.75" hidden="1" x14ac:dyDescent="0.2">
      <c r="A80" s="3"/>
      <c r="B80" s="4" t="s">
        <v>56</v>
      </c>
      <c r="C80" s="4" t="str">
        <f>"A/4 (102GR/M2) 100DB-OS"</f>
        <v>A/4 (102GR/M2) 100DB-OS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6"/>
      <c r="W80" s="6"/>
      <c r="X80" s="6"/>
      <c r="Y80" s="6"/>
      <c r="Z80" s="6"/>
      <c r="AA80" s="6"/>
      <c r="AB80" s="6"/>
      <c r="AC80" s="6"/>
      <c r="AD80" s="6"/>
      <c r="AE80" s="5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11">
        <f t="shared" si="4"/>
        <v>0</v>
      </c>
      <c r="AY80" s="42"/>
      <c r="AZ80" s="11"/>
    </row>
    <row r="81" spans="1:52" s="2" customFormat="1" ht="12.75" hidden="1" x14ac:dyDescent="0.2">
      <c r="A81" s="3"/>
      <c r="B81" s="4" t="s">
        <v>56</v>
      </c>
      <c r="C81" s="4" t="str">
        <f>"A/4"</f>
        <v>A/4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7"/>
      <c r="V81" s="6"/>
      <c r="W81" s="6"/>
      <c r="X81" s="6"/>
      <c r="Y81" s="6"/>
      <c r="Z81" s="6"/>
      <c r="AA81" s="6"/>
      <c r="AB81" s="6"/>
      <c r="AC81" s="6"/>
      <c r="AD81" s="6"/>
      <c r="AE81" s="5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11">
        <f t="shared" si="4"/>
        <v>0</v>
      </c>
      <c r="AY81" s="42"/>
      <c r="AZ81" s="11"/>
    </row>
    <row r="82" spans="1:52" s="2" customFormat="1" ht="12.75" hidden="1" x14ac:dyDescent="0.2">
      <c r="A82" s="3"/>
      <c r="B82" s="4" t="s">
        <v>56</v>
      </c>
      <c r="C82" s="4" t="str">
        <f>"A/4"</f>
        <v>A/4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7"/>
      <c r="V82" s="6"/>
      <c r="W82" s="6"/>
      <c r="X82" s="6"/>
      <c r="Y82" s="6"/>
      <c r="Z82" s="6"/>
      <c r="AA82" s="6"/>
      <c r="AB82" s="6"/>
      <c r="AC82" s="6"/>
      <c r="AD82" s="6"/>
      <c r="AE82" s="5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11">
        <f t="shared" si="4"/>
        <v>0</v>
      </c>
      <c r="AY82" s="42"/>
      <c r="AZ82" s="11"/>
    </row>
    <row r="83" spans="1:52" s="2" customFormat="1" ht="12.75" hidden="1" x14ac:dyDescent="0.2">
      <c r="A83" s="3"/>
      <c r="B83" s="4" t="s">
        <v>56</v>
      </c>
      <c r="C83" s="4" t="str">
        <f>"A/3"</f>
        <v>A/3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6"/>
      <c r="W83" s="6"/>
      <c r="X83" s="6"/>
      <c r="Y83" s="6"/>
      <c r="Z83" s="6"/>
      <c r="AA83" s="6"/>
      <c r="AB83" s="6"/>
      <c r="AC83" s="6"/>
      <c r="AD83" s="6"/>
      <c r="AE83" s="5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11">
        <f t="shared" si="4"/>
        <v>0</v>
      </c>
      <c r="AY83" s="42"/>
      <c r="AZ83" s="11"/>
    </row>
    <row r="84" spans="1:52" s="2" customFormat="1" ht="12.75" hidden="1" x14ac:dyDescent="0.2">
      <c r="A84" s="3"/>
      <c r="B84" s="4" t="s">
        <v>56</v>
      </c>
      <c r="C84" s="4" t="str">
        <f>"A/4"</f>
        <v>A/4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7"/>
      <c r="V84" s="6"/>
      <c r="W84" s="6"/>
      <c r="X84" s="6"/>
      <c r="Y84" s="6"/>
      <c r="Z84" s="6"/>
      <c r="AA84" s="6"/>
      <c r="AB84" s="6"/>
      <c r="AC84" s="6"/>
      <c r="AD84" s="6"/>
      <c r="AE84" s="5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11">
        <f t="shared" si="4"/>
        <v>0</v>
      </c>
      <c r="AY84" s="42"/>
      <c r="AZ84" s="11"/>
    </row>
    <row r="85" spans="1:52" s="2" customFormat="1" ht="12.75" x14ac:dyDescent="0.2">
      <c r="A85" s="3" t="s">
        <v>41</v>
      </c>
      <c r="B85" s="4" t="s">
        <v>56</v>
      </c>
      <c r="C85" s="4" t="s">
        <v>61</v>
      </c>
      <c r="D85" s="6">
        <v>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>
        <v>5</v>
      </c>
      <c r="R85" s="6"/>
      <c r="S85" s="6"/>
      <c r="T85" s="6"/>
      <c r="U85" s="7"/>
      <c r="V85" s="6"/>
      <c r="W85" s="6"/>
      <c r="X85" s="6"/>
      <c r="Y85" s="6"/>
      <c r="Z85" s="6"/>
      <c r="AA85" s="6"/>
      <c r="AB85" s="6"/>
      <c r="AC85" s="6"/>
      <c r="AD85" s="6"/>
      <c r="AE85" s="5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11">
        <f t="shared" si="4"/>
        <v>10</v>
      </c>
      <c r="AY85" s="42" t="s">
        <v>11</v>
      </c>
      <c r="AZ85" s="11"/>
    </row>
    <row r="86" spans="1:52" s="2" customFormat="1" hidden="1" x14ac:dyDescent="0.2">
      <c r="A86" s="3"/>
      <c r="B86" s="4" t="str">
        <f>"DOSSZIÉ (MŰANYAG HÁTLAPOS) TOVÁBB FŰZŐS"</f>
        <v>DOSSZIÉ (MŰANYAG HÁTLAPOS) TOVÁBB FŰZŐS</v>
      </c>
      <c r="C86" s="4" t="str">
        <f>"A/4"</f>
        <v>A/4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7"/>
      <c r="V86" s="6"/>
      <c r="W86" s="6"/>
      <c r="X86" s="6"/>
      <c r="Y86" s="6"/>
      <c r="Z86" s="6"/>
      <c r="AA86" s="6"/>
      <c r="AB86" s="6"/>
      <c r="AC86" s="6"/>
      <c r="AD86" s="6"/>
      <c r="AE86" s="5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11">
        <f t="shared" si="4"/>
        <v>0</v>
      </c>
      <c r="AY86" s="42" t="s">
        <v>11</v>
      </c>
      <c r="AZ86" s="11"/>
    </row>
    <row r="87" spans="1:52" s="2" customFormat="1" x14ac:dyDescent="0.2">
      <c r="A87" s="3" t="s">
        <v>42</v>
      </c>
      <c r="B87" s="4" t="str">
        <f>"DOSSZIÉ (PAPÍR) FŰZŐS"</f>
        <v>DOSSZIÉ (PAPÍR) FŰZŐS</v>
      </c>
      <c r="C87" s="4" t="str">
        <f>"A/4"</f>
        <v>A/4</v>
      </c>
      <c r="D87" s="6">
        <v>5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>
        <v>5</v>
      </c>
      <c r="R87" s="6"/>
      <c r="S87" s="6"/>
      <c r="T87" s="6"/>
      <c r="U87" s="7"/>
      <c r="V87" s="6"/>
      <c r="W87" s="6"/>
      <c r="X87" s="6"/>
      <c r="Y87" s="6"/>
      <c r="Z87" s="6"/>
      <c r="AA87" s="6"/>
      <c r="AB87" s="6"/>
      <c r="AC87" s="6"/>
      <c r="AD87" s="6"/>
      <c r="AE87" s="5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>
        <v>20</v>
      </c>
      <c r="AW87" s="6"/>
      <c r="AX87" s="11">
        <f t="shared" si="4"/>
        <v>30</v>
      </c>
      <c r="AY87" s="42" t="s">
        <v>11</v>
      </c>
      <c r="AZ87" s="11"/>
    </row>
    <row r="88" spans="1:52" s="2" customFormat="1" x14ac:dyDescent="0.2">
      <c r="A88" s="3" t="s">
        <v>50</v>
      </c>
      <c r="B88" s="4" t="str">
        <f>"DOSSZIÉ (PAPÍR) PÓLYÁS-HAJTOGATÓS"</f>
        <v>DOSSZIÉ (PAPÍR) PÓLYÁS-HAJTOGATÓS</v>
      </c>
      <c r="C88" s="4" t="str">
        <f>"A/4"</f>
        <v>A/4</v>
      </c>
      <c r="D88" s="6">
        <v>5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>
        <v>10</v>
      </c>
      <c r="R88" s="6"/>
      <c r="S88" s="6"/>
      <c r="T88" s="6"/>
      <c r="U88" s="7"/>
      <c r="V88" s="6"/>
      <c r="W88" s="6"/>
      <c r="X88" s="6"/>
      <c r="Y88" s="6"/>
      <c r="Z88" s="6"/>
      <c r="AA88" s="6"/>
      <c r="AB88" s="6"/>
      <c r="AC88" s="6"/>
      <c r="AD88" s="6"/>
      <c r="AE88" s="5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>
        <v>20</v>
      </c>
      <c r="AW88" s="6"/>
      <c r="AX88" s="11">
        <f t="shared" si="4"/>
        <v>35</v>
      </c>
      <c r="AY88" s="42" t="s">
        <v>11</v>
      </c>
      <c r="AZ88" s="11"/>
    </row>
    <row r="89" spans="1:52" s="4" customFormat="1" x14ac:dyDescent="0.2">
      <c r="A89" s="3" t="s">
        <v>51</v>
      </c>
      <c r="B89" s="4" t="s">
        <v>75</v>
      </c>
      <c r="C89" s="1" t="s">
        <v>76</v>
      </c>
      <c r="D89" s="6"/>
      <c r="E89" s="6"/>
      <c r="F89" s="6"/>
      <c r="G89" s="6"/>
      <c r="H89" s="6"/>
      <c r="I89" s="6"/>
      <c r="J89" s="6"/>
      <c r="K89" s="6">
        <v>1</v>
      </c>
      <c r="L89" s="6"/>
      <c r="M89" s="6"/>
      <c r="N89" s="6"/>
      <c r="O89" s="6"/>
      <c r="P89" s="6"/>
      <c r="Q89" s="6"/>
      <c r="R89" s="6"/>
      <c r="S89" s="6"/>
      <c r="T89" s="6"/>
      <c r="U89" s="7"/>
      <c r="V89" s="6"/>
      <c r="W89" s="6"/>
      <c r="X89" s="6"/>
      <c r="Y89" s="6"/>
      <c r="Z89" s="6"/>
      <c r="AA89" s="6"/>
      <c r="AB89" s="6"/>
      <c r="AC89" s="6"/>
      <c r="AD89" s="6"/>
      <c r="AE89" s="5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11">
        <f t="shared" si="4"/>
        <v>1</v>
      </c>
      <c r="AY89" s="41" t="s">
        <v>66</v>
      </c>
      <c r="AZ89" s="6"/>
    </row>
    <row r="90" spans="1:52" s="4" customFormat="1" x14ac:dyDescent="0.2">
      <c r="A90" s="3" t="s">
        <v>52</v>
      </c>
      <c r="B90" s="4" t="s">
        <v>75</v>
      </c>
      <c r="C90" s="4" t="str">
        <f>"105X058 MM"</f>
        <v>105X058 MM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>
        <v>1</v>
      </c>
      <c r="R90" s="6"/>
      <c r="S90" s="6"/>
      <c r="U90" s="7"/>
      <c r="V90" s="6"/>
      <c r="W90" s="6"/>
      <c r="X90" s="6"/>
      <c r="Y90" s="6"/>
      <c r="Z90" s="6"/>
      <c r="AA90" s="6"/>
      <c r="AB90" s="6"/>
      <c r="AC90" s="6"/>
      <c r="AD90" s="6"/>
      <c r="AE90" s="5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11">
        <f t="shared" si="4"/>
        <v>1</v>
      </c>
      <c r="AY90" s="42" t="s">
        <v>11</v>
      </c>
      <c r="AZ90" s="6"/>
    </row>
    <row r="91" spans="1:52" s="4" customFormat="1" hidden="1" x14ac:dyDescent="0.2">
      <c r="A91" s="3"/>
      <c r="B91" s="4" t="str">
        <f>"GOLYÓSTOLL (ÜGYFELES)"</f>
        <v>GOLYÓSTOLL (ÜGYFELES)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7"/>
      <c r="V91" s="6"/>
      <c r="W91" s="6"/>
      <c r="X91" s="6"/>
      <c r="Y91" s="6"/>
      <c r="Z91" s="6"/>
      <c r="AA91" s="6"/>
      <c r="AB91" s="6"/>
      <c r="AC91" s="6"/>
      <c r="AD91" s="6"/>
      <c r="AE91" s="5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11">
        <f t="shared" si="4"/>
        <v>0</v>
      </c>
      <c r="AY91" s="42" t="s">
        <v>11</v>
      </c>
      <c r="AZ91" s="6"/>
    </row>
    <row r="92" spans="1:52" s="4" customFormat="1" x14ac:dyDescent="0.2">
      <c r="A92" s="3" t="s">
        <v>55</v>
      </c>
      <c r="B92" s="4" t="s">
        <v>77</v>
      </c>
      <c r="C92" s="4" t="s">
        <v>78</v>
      </c>
      <c r="D92" s="6">
        <v>5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>
        <v>1</v>
      </c>
      <c r="R92" s="6"/>
      <c r="S92" s="6"/>
      <c r="T92" s="6"/>
      <c r="U92" s="7"/>
      <c r="V92" s="6"/>
      <c r="W92" s="6"/>
      <c r="X92" s="6"/>
      <c r="Y92" s="6"/>
      <c r="Z92" s="6"/>
      <c r="AA92" s="6"/>
      <c r="AB92" s="6"/>
      <c r="AC92" s="6"/>
      <c r="AD92" s="6"/>
      <c r="AE92" s="5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>
        <v>3</v>
      </c>
      <c r="AW92" s="6"/>
      <c r="AX92" s="11">
        <f t="shared" si="4"/>
        <v>9</v>
      </c>
      <c r="AY92" s="42" t="s">
        <v>79</v>
      </c>
      <c r="AZ92" s="6"/>
    </row>
    <row r="93" spans="1:52" s="4" customFormat="1" hidden="1" x14ac:dyDescent="0.2">
      <c r="A93" s="3"/>
      <c r="B93" s="4" t="str">
        <f>"GOLYÓSTOLL (ZEBRA N5200)"</f>
        <v>GOLYÓSTOLL (ZEBRA N5200)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7"/>
      <c r="V93" s="6"/>
      <c r="W93" s="6"/>
      <c r="X93" s="6"/>
      <c r="Y93" s="6"/>
      <c r="Z93" s="6"/>
      <c r="AA93" s="6"/>
      <c r="AB93" s="6"/>
      <c r="AC93" s="6"/>
      <c r="AD93" s="6"/>
      <c r="AE93" s="5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11">
        <f t="shared" si="4"/>
        <v>0</v>
      </c>
      <c r="AY93" s="42" t="s">
        <v>79</v>
      </c>
      <c r="AZ93" s="6"/>
    </row>
    <row r="94" spans="1:52" s="4" customFormat="1" hidden="1" x14ac:dyDescent="0.2">
      <c r="A94" s="3"/>
      <c r="B94" s="4" t="str">
        <f>"GOLYÓSTOLL (ZEBRA RUBBER 101)"</f>
        <v>GOLYÓSTOLL (ZEBRA RUBBER 101)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V94" s="6"/>
      <c r="W94" s="6"/>
      <c r="X94" s="6"/>
      <c r="Y94" s="6"/>
      <c r="Z94" s="6"/>
      <c r="AA94" s="6"/>
      <c r="AB94" s="6"/>
      <c r="AC94" s="6"/>
      <c r="AD94" s="6"/>
      <c r="AE94" s="5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11">
        <f t="shared" si="4"/>
        <v>0</v>
      </c>
      <c r="AY94" s="42" t="s">
        <v>79</v>
      </c>
      <c r="AZ94" s="6"/>
    </row>
    <row r="95" spans="1:52" s="4" customFormat="1" x14ac:dyDescent="0.2">
      <c r="A95" s="3" t="s">
        <v>57</v>
      </c>
      <c r="B95" s="4" t="s">
        <v>81</v>
      </c>
      <c r="C95" s="4" t="str">
        <f>"A/4 (80 GRAMM)"</f>
        <v>A/4 (80 GRAMM)</v>
      </c>
      <c r="D95" s="6">
        <v>5</v>
      </c>
      <c r="E95" s="6"/>
      <c r="F95" s="6">
        <v>20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10</v>
      </c>
      <c r="U95" s="7"/>
      <c r="V95" s="6"/>
      <c r="W95" s="6"/>
      <c r="X95" s="6"/>
      <c r="Y95" s="6"/>
      <c r="Z95" s="6"/>
      <c r="AA95" s="6"/>
      <c r="AB95" s="6"/>
      <c r="AC95" s="6"/>
      <c r="AD95" s="6"/>
      <c r="AE95" s="5"/>
      <c r="AF95" s="6"/>
      <c r="AG95" s="6"/>
      <c r="AH95" s="6"/>
      <c r="AI95" s="6">
        <v>50</v>
      </c>
      <c r="AJ95" s="6">
        <v>50</v>
      </c>
      <c r="AK95" s="6">
        <v>50</v>
      </c>
      <c r="AL95" s="6">
        <v>50</v>
      </c>
      <c r="AM95" s="6"/>
      <c r="AN95" s="6">
        <v>10</v>
      </c>
      <c r="AO95" s="6"/>
      <c r="AP95" s="6">
        <v>20</v>
      </c>
      <c r="AQ95" s="6"/>
      <c r="AR95" s="6">
        <v>20</v>
      </c>
      <c r="AS95" s="6">
        <v>20</v>
      </c>
      <c r="AT95" s="6">
        <v>20</v>
      </c>
      <c r="AU95" s="6"/>
      <c r="AV95" s="6">
        <v>30</v>
      </c>
      <c r="AW95" s="6">
        <v>50</v>
      </c>
      <c r="AX95" s="11">
        <f t="shared" si="4"/>
        <v>405</v>
      </c>
      <c r="AY95" s="42" t="s">
        <v>79</v>
      </c>
      <c r="AZ95" s="6"/>
    </row>
    <row r="96" spans="1:52" s="2" customFormat="1" x14ac:dyDescent="0.2">
      <c r="A96" s="3" t="s">
        <v>58</v>
      </c>
      <c r="B96" s="4" t="s">
        <v>81</v>
      </c>
      <c r="C96" s="4" t="s">
        <v>83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7"/>
      <c r="V96" s="6"/>
      <c r="W96" s="6"/>
      <c r="X96" s="6"/>
      <c r="Y96" s="6"/>
      <c r="Z96" s="6"/>
      <c r="AA96" s="6"/>
      <c r="AB96" s="6"/>
      <c r="AC96" s="6"/>
      <c r="AD96" s="6"/>
      <c r="AE96" s="5"/>
      <c r="AF96" s="6"/>
      <c r="AG96" s="6"/>
      <c r="AH96" s="6"/>
      <c r="AI96" s="6">
        <v>1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1">
        <f t="shared" si="4"/>
        <v>1</v>
      </c>
      <c r="AY96" s="42" t="s">
        <v>11</v>
      </c>
      <c r="AZ96" s="11"/>
    </row>
    <row r="97" spans="1:52" s="4" customFormat="1" hidden="1" x14ac:dyDescent="0.2">
      <c r="A97" s="3"/>
      <c r="B97" s="4" t="str">
        <f t="shared" ref="B97:B102" si="5">"GOLYÓSTOLL BETÉT"</f>
        <v>GOLYÓSTOLL BETÉT</v>
      </c>
      <c r="C97" s="4" t="str">
        <f>"4 SZÍNŰ (MINI)"</f>
        <v>4 SZÍNŰ (MINI)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7"/>
      <c r="V97" s="6"/>
      <c r="W97" s="6"/>
      <c r="X97" s="6"/>
      <c r="Y97" s="6"/>
      <c r="Z97" s="6"/>
      <c r="AA97" s="6"/>
      <c r="AB97" s="6"/>
      <c r="AC97" s="6"/>
      <c r="AD97" s="6"/>
      <c r="AE97" s="5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11">
        <f t="shared" si="4"/>
        <v>0</v>
      </c>
      <c r="AY97" s="42" t="s">
        <v>11</v>
      </c>
      <c r="AZ97" s="6"/>
    </row>
    <row r="98" spans="1:52" s="4" customFormat="1" hidden="1" x14ac:dyDescent="0.2">
      <c r="A98" s="3"/>
      <c r="B98" s="4" t="str">
        <f t="shared" si="5"/>
        <v>GOLYÓSTOLL BETÉT</v>
      </c>
      <c r="C98" s="4" t="str">
        <f>"HANDY"</f>
        <v>HANDY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7"/>
      <c r="V98" s="6"/>
      <c r="W98" s="6"/>
      <c r="X98" s="6"/>
      <c r="Y98" s="6"/>
      <c r="Z98" s="6"/>
      <c r="AA98" s="6"/>
      <c r="AB98" s="6"/>
      <c r="AC98" s="6"/>
      <c r="AD98" s="6"/>
      <c r="AE98" s="5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11">
        <f t="shared" si="4"/>
        <v>0</v>
      </c>
      <c r="AY98" s="42" t="s">
        <v>11</v>
      </c>
      <c r="AZ98" s="6"/>
    </row>
    <row r="99" spans="1:52" s="4" customFormat="1" hidden="1" x14ac:dyDescent="0.2">
      <c r="A99" s="3"/>
      <c r="B99" s="4" t="str">
        <f t="shared" si="5"/>
        <v>GOLYÓSTOLL BETÉT</v>
      </c>
      <c r="C99" s="4" t="str">
        <f>"PARKER"</f>
        <v>PARKER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7"/>
      <c r="V99" s="6"/>
      <c r="W99" s="6"/>
      <c r="X99" s="6"/>
      <c r="Y99" s="6"/>
      <c r="Z99" s="6"/>
      <c r="AA99" s="6"/>
      <c r="AB99" s="6"/>
      <c r="AC99" s="6"/>
      <c r="AD99" s="6"/>
      <c r="AE99" s="5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11">
        <f t="shared" si="4"/>
        <v>0</v>
      </c>
      <c r="AY99" s="42" t="s">
        <v>11</v>
      </c>
      <c r="AZ99" s="6"/>
    </row>
    <row r="100" spans="1:52" s="4" customFormat="1" hidden="1" x14ac:dyDescent="0.2">
      <c r="A100" s="3"/>
      <c r="B100" s="4" t="str">
        <f t="shared" si="5"/>
        <v>GOLYÓSTOLL BETÉT</v>
      </c>
      <c r="C100" s="4" t="str">
        <f>"PAX"</f>
        <v>PAX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7"/>
      <c r="V100" s="6"/>
      <c r="W100" s="6"/>
      <c r="X100" s="6"/>
      <c r="Y100" s="6"/>
      <c r="Z100" s="6"/>
      <c r="AA100" s="6"/>
      <c r="AB100" s="6"/>
      <c r="AC100" s="6"/>
      <c r="AD100" s="6"/>
      <c r="AE100" s="5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11">
        <f t="shared" si="4"/>
        <v>0</v>
      </c>
      <c r="AY100" s="42" t="s">
        <v>11</v>
      </c>
      <c r="AZ100" s="6"/>
    </row>
    <row r="101" spans="1:52" s="4" customFormat="1" hidden="1" x14ac:dyDescent="0.2">
      <c r="A101" s="3"/>
      <c r="B101" s="4" t="str">
        <f t="shared" si="5"/>
        <v>GOLYÓSTOLL BETÉT</v>
      </c>
      <c r="C101" s="4" t="str">
        <f>"PENAC (RB 98C 07)"</f>
        <v>PENAC (RB 98C 07)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7"/>
      <c r="V101" s="6"/>
      <c r="W101" s="6"/>
      <c r="X101" s="6"/>
      <c r="Y101" s="6"/>
      <c r="Z101" s="6"/>
      <c r="AA101" s="6"/>
      <c r="AB101" s="6"/>
      <c r="AC101" s="6"/>
      <c r="AD101" s="6"/>
      <c r="AE101" s="5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11">
        <f t="shared" si="4"/>
        <v>0</v>
      </c>
      <c r="AY101" s="42" t="s">
        <v>11</v>
      </c>
      <c r="AZ101" s="6"/>
    </row>
    <row r="102" spans="1:52" s="4" customFormat="1" hidden="1" x14ac:dyDescent="0.2">
      <c r="A102" s="3"/>
      <c r="B102" s="4" t="str">
        <f t="shared" si="5"/>
        <v>GOLYÓSTOLL BETÉT</v>
      </c>
      <c r="C102" s="4" t="str">
        <f>"PILOT"</f>
        <v>PILOT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7"/>
      <c r="V102" s="6"/>
      <c r="W102" s="6"/>
      <c r="X102" s="6"/>
      <c r="Y102" s="6"/>
      <c r="Z102" s="6"/>
      <c r="AA102" s="6"/>
      <c r="AB102" s="6"/>
      <c r="AC102" s="6"/>
      <c r="AD102" s="6"/>
      <c r="AE102" s="5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11">
        <f t="shared" si="4"/>
        <v>0</v>
      </c>
      <c r="AY102" s="42" t="s">
        <v>11</v>
      </c>
      <c r="AZ102" s="6"/>
    </row>
    <row r="103" spans="1:52" s="2" customFormat="1" x14ac:dyDescent="0.2">
      <c r="A103" s="3" t="s">
        <v>60</v>
      </c>
      <c r="B103" s="4" t="s">
        <v>85</v>
      </c>
      <c r="C103" s="4" t="s">
        <v>78</v>
      </c>
      <c r="D103" s="6">
        <v>10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7"/>
      <c r="V103" s="6"/>
      <c r="W103" s="6"/>
      <c r="X103" s="6"/>
      <c r="Y103" s="6"/>
      <c r="Z103" s="6"/>
      <c r="AA103" s="6"/>
      <c r="AB103" s="6"/>
      <c r="AC103" s="6"/>
      <c r="AD103" s="6"/>
      <c r="AE103" s="5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11">
        <f t="shared" si="4"/>
        <v>10</v>
      </c>
      <c r="AY103" s="42" t="s">
        <v>11</v>
      </c>
      <c r="AZ103" s="11"/>
    </row>
    <row r="104" spans="1:52" s="4" customFormat="1" hidden="1" x14ac:dyDescent="0.2">
      <c r="A104" s="3"/>
      <c r="B104" s="4" t="str">
        <f>"GOLYÓSTOLL BETÉT"</f>
        <v>GOLYÓSTOLL BETÉT</v>
      </c>
      <c r="C104" s="4" t="str">
        <f>"RÉZ"</f>
        <v>RÉZ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7"/>
      <c r="V104" s="6"/>
      <c r="W104" s="6"/>
      <c r="X104" s="6"/>
      <c r="Y104" s="6"/>
      <c r="Z104" s="6"/>
      <c r="AA104" s="6"/>
      <c r="AB104" s="6"/>
      <c r="AC104" s="6"/>
      <c r="AD104" s="6"/>
      <c r="AE104" s="5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11">
        <f t="shared" si="4"/>
        <v>0</v>
      </c>
      <c r="AY104" s="42" t="s">
        <v>11</v>
      </c>
      <c r="AZ104" s="6"/>
    </row>
    <row r="105" spans="1:52" s="2" customFormat="1" hidden="1" x14ac:dyDescent="0.2">
      <c r="A105" s="3"/>
      <c r="B105" s="4" t="str">
        <f>"GOLYÓSTOLL BETÉT"</f>
        <v>GOLYÓSTOLL BETÉT</v>
      </c>
      <c r="C105" s="4" t="str">
        <f>"X-20"</f>
        <v>X-20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  <c r="V105" s="6"/>
      <c r="W105" s="6"/>
      <c r="X105" s="6"/>
      <c r="Y105" s="6"/>
      <c r="Z105" s="6"/>
      <c r="AA105" s="6"/>
      <c r="AB105" s="6"/>
      <c r="AC105" s="6"/>
      <c r="AD105" s="6"/>
      <c r="AE105" s="5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11">
        <f t="shared" si="4"/>
        <v>0</v>
      </c>
      <c r="AY105" s="42" t="s">
        <v>11</v>
      </c>
      <c r="AZ105" s="11"/>
    </row>
    <row r="106" spans="1:52" s="4" customFormat="1" x14ac:dyDescent="0.2">
      <c r="A106" s="3" t="s">
        <v>62</v>
      </c>
      <c r="B106" s="4" t="s">
        <v>91</v>
      </c>
      <c r="C106" s="4" t="str">
        <f>"A/4"</f>
        <v>A/4</v>
      </c>
      <c r="D106" s="6">
        <v>10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  <c r="V106" s="6"/>
      <c r="W106" s="6"/>
      <c r="X106" s="6"/>
      <c r="Y106" s="6"/>
      <c r="Z106" s="6"/>
      <c r="AA106" s="6"/>
      <c r="AB106" s="6"/>
      <c r="AC106" s="6"/>
      <c r="AD106" s="6"/>
      <c r="AE106" s="5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11">
        <f t="shared" si="4"/>
        <v>10</v>
      </c>
      <c r="AY106" s="42" t="s">
        <v>11</v>
      </c>
      <c r="AZ106" s="6"/>
    </row>
    <row r="107" spans="1:52" s="2" customFormat="1" x14ac:dyDescent="0.2">
      <c r="A107" s="3" t="s">
        <v>63</v>
      </c>
      <c r="B107" s="4" t="str">
        <f>"GÉMKAPOCS (NAGY)"</f>
        <v>GÉMKAPOCS (NAGY)</v>
      </c>
      <c r="C107" s="4" t="str">
        <f>"55MM"</f>
        <v>55MM</v>
      </c>
      <c r="D107" s="6">
        <v>2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>
        <v>1</v>
      </c>
      <c r="R107" s="6">
        <v>6</v>
      </c>
      <c r="S107" s="6"/>
      <c r="T107" s="6"/>
      <c r="U107" s="7"/>
      <c r="V107" s="6"/>
      <c r="W107" s="6"/>
      <c r="X107" s="6"/>
      <c r="Y107" s="6"/>
      <c r="Z107" s="6"/>
      <c r="AA107" s="6"/>
      <c r="AB107" s="6"/>
      <c r="AC107" s="6"/>
      <c r="AD107" s="6"/>
      <c r="AE107" s="5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11">
        <f t="shared" ref="AX107:AX154" si="6">SUM(D107:AW107)</f>
        <v>9</v>
      </c>
      <c r="AY107" s="42" t="s">
        <v>25</v>
      </c>
      <c r="AZ107" s="11"/>
    </row>
    <row r="108" spans="1:52" s="4" customFormat="1" hidden="1" x14ac:dyDescent="0.2">
      <c r="A108" s="3"/>
      <c r="B108" s="4" t="str">
        <f>"HIBAJAVÍTÓ TOLL (STRANGER)"</f>
        <v>HIBAJAVÍTÓ TOLL (STRANGER)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7"/>
      <c r="V108" s="6"/>
      <c r="W108" s="6"/>
      <c r="X108" s="6"/>
      <c r="Y108" s="6"/>
      <c r="Z108" s="6"/>
      <c r="AA108" s="6"/>
      <c r="AB108" s="6"/>
      <c r="AC108" s="6"/>
      <c r="AD108" s="6"/>
      <c r="AE108" s="5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11">
        <f t="shared" si="6"/>
        <v>0</v>
      </c>
      <c r="AY108" s="41"/>
      <c r="AZ108" s="6"/>
    </row>
    <row r="109" spans="1:52" s="4" customFormat="1" hidden="1" x14ac:dyDescent="0.2">
      <c r="A109" s="3"/>
      <c r="B109" s="4" t="str">
        <f>"HULLADÉK ELHELYEZÉSI JEGY"</f>
        <v>HULLADÉK ELHELYEZÉSI JEGY</v>
      </c>
      <c r="C109" s="4" t="str">
        <f>"(TISZASZOLG)"</f>
        <v>(TISZASZOLG)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7"/>
      <c r="V109" s="6"/>
      <c r="W109" s="6"/>
      <c r="X109" s="6"/>
      <c r="Y109" s="6"/>
      <c r="Z109" s="6"/>
      <c r="AA109" s="6"/>
      <c r="AB109" s="6"/>
      <c r="AC109" s="6"/>
      <c r="AD109" s="6"/>
      <c r="AE109" s="5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11">
        <f t="shared" si="6"/>
        <v>0</v>
      </c>
      <c r="AY109" s="41"/>
      <c r="AZ109" s="6"/>
    </row>
    <row r="110" spans="1:52" s="4" customFormat="1" hidden="1" x14ac:dyDescent="0.2">
      <c r="A110" s="3"/>
      <c r="B110" s="4" t="str">
        <f>"IKTATÓKÖNYV (SOROS)"</f>
        <v>IKTATÓKÖNYV (SOROS)</v>
      </c>
      <c r="C110" s="4" t="str">
        <f>"C 5230-152"</f>
        <v>C 5230-152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7"/>
      <c r="V110" s="6"/>
      <c r="W110" s="6"/>
      <c r="X110" s="6"/>
      <c r="Y110" s="6"/>
      <c r="Z110" s="6"/>
      <c r="AA110" s="6"/>
      <c r="AB110" s="6"/>
      <c r="AC110" s="6"/>
      <c r="AD110" s="6"/>
      <c r="AE110" s="5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11">
        <f t="shared" si="6"/>
        <v>0</v>
      </c>
      <c r="AY110" s="41"/>
      <c r="AZ110" s="6"/>
    </row>
    <row r="111" spans="1:52" s="4" customFormat="1" x14ac:dyDescent="0.2">
      <c r="A111" s="3" t="s">
        <v>64</v>
      </c>
      <c r="B111" s="4" t="str">
        <f>"GÉMKAPOCS (NORMÁL)"</f>
        <v>GÉMKAPOCS (NORMÁL)</v>
      </c>
      <c r="C111" s="4" t="str">
        <f>"33MM"</f>
        <v>33MM</v>
      </c>
      <c r="D111" s="6">
        <v>2</v>
      </c>
      <c r="E111" s="6"/>
      <c r="F111" s="6"/>
      <c r="G111" s="6"/>
      <c r="H111" s="6"/>
      <c r="I111" s="6">
        <v>6</v>
      </c>
      <c r="J111" s="6"/>
      <c r="K111" s="6"/>
      <c r="L111" s="6"/>
      <c r="M111" s="6"/>
      <c r="N111" s="6"/>
      <c r="O111" s="6"/>
      <c r="P111" s="6"/>
      <c r="Q111" s="6">
        <v>2</v>
      </c>
      <c r="R111" s="6">
        <v>4</v>
      </c>
      <c r="S111" s="6"/>
      <c r="T111" s="6"/>
      <c r="U111" s="7"/>
      <c r="V111" s="6"/>
      <c r="W111" s="6"/>
      <c r="X111" s="6"/>
      <c r="Y111" s="6"/>
      <c r="Z111" s="6"/>
      <c r="AA111" s="6"/>
      <c r="AB111" s="6"/>
      <c r="AC111" s="6"/>
      <c r="AD111" s="6"/>
      <c r="AE111" s="5"/>
      <c r="AF111" s="6"/>
      <c r="AG111" s="6"/>
      <c r="AH111" s="6"/>
      <c r="AI111" s="6">
        <v>3</v>
      </c>
      <c r="AJ111" s="6">
        <v>3</v>
      </c>
      <c r="AK111" s="6">
        <v>3</v>
      </c>
      <c r="AL111" s="6">
        <v>3</v>
      </c>
      <c r="AM111" s="6"/>
      <c r="AN111" s="6"/>
      <c r="AO111" s="6">
        <v>2</v>
      </c>
      <c r="AP111" s="6"/>
      <c r="AQ111" s="6"/>
      <c r="AR111" s="6">
        <v>3</v>
      </c>
      <c r="AS111" s="6"/>
      <c r="AT111" s="6"/>
      <c r="AU111" s="6"/>
      <c r="AV111" s="6">
        <v>10</v>
      </c>
      <c r="AW111" s="6"/>
      <c r="AX111" s="11">
        <f t="shared" si="6"/>
        <v>41</v>
      </c>
      <c r="AY111" s="42" t="s">
        <v>11</v>
      </c>
      <c r="AZ111" s="6"/>
    </row>
    <row r="112" spans="1:52" s="17" customFormat="1" x14ac:dyDescent="0.2">
      <c r="A112" s="3" t="s">
        <v>65</v>
      </c>
      <c r="B112" s="4" t="s">
        <v>97</v>
      </c>
      <c r="C112" s="4" t="s">
        <v>98</v>
      </c>
      <c r="D112" s="6">
        <v>2</v>
      </c>
      <c r="E112" s="8"/>
      <c r="F112" s="6"/>
      <c r="G112" s="8"/>
      <c r="H112" s="8"/>
      <c r="I112" s="6"/>
      <c r="J112" s="8"/>
      <c r="K112" s="6"/>
      <c r="L112" s="8"/>
      <c r="M112" s="8"/>
      <c r="N112" s="8"/>
      <c r="O112" s="8"/>
      <c r="P112" s="6"/>
      <c r="Q112" s="8"/>
      <c r="R112" s="8"/>
      <c r="S112" s="8"/>
      <c r="T112" s="8"/>
      <c r="U112" s="16"/>
      <c r="V112" s="8"/>
      <c r="W112" s="8"/>
      <c r="X112" s="8"/>
      <c r="Y112" s="8"/>
      <c r="Z112" s="8"/>
      <c r="AA112" s="8"/>
      <c r="AB112" s="8"/>
      <c r="AC112" s="8"/>
      <c r="AD112" s="8"/>
      <c r="AE112" s="13"/>
      <c r="AF112" s="8"/>
      <c r="AG112" s="8"/>
      <c r="AH112" s="8"/>
      <c r="AI112" s="6"/>
      <c r="AJ112" s="8"/>
      <c r="AK112" s="6"/>
      <c r="AL112" s="8"/>
      <c r="AM112" s="8"/>
      <c r="AN112" s="8"/>
      <c r="AO112" s="8"/>
      <c r="AP112" s="8"/>
      <c r="AQ112" s="8"/>
      <c r="AR112" s="6"/>
      <c r="AS112" s="6"/>
      <c r="AT112" s="8"/>
      <c r="AU112" s="8"/>
      <c r="AV112" s="8"/>
      <c r="AW112" s="8"/>
      <c r="AX112" s="11">
        <f t="shared" si="6"/>
        <v>2</v>
      </c>
      <c r="AY112" s="42" t="s">
        <v>11</v>
      </c>
      <c r="AZ112" s="8"/>
    </row>
    <row r="113" spans="1:52" s="4" customFormat="1" x14ac:dyDescent="0.2">
      <c r="A113" s="3" t="s">
        <v>67</v>
      </c>
      <c r="B113" s="4" t="s">
        <v>102</v>
      </c>
      <c r="C113" s="4" t="s">
        <v>103</v>
      </c>
      <c r="D113" s="6"/>
      <c r="E113" s="6"/>
      <c r="F113" s="6">
        <v>500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100</v>
      </c>
      <c r="R113" s="6"/>
      <c r="S113" s="6"/>
      <c r="T113" s="6">
        <v>100</v>
      </c>
      <c r="U113" s="7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>
        <v>500</v>
      </c>
      <c r="AJ113" s="6">
        <v>100</v>
      </c>
      <c r="AK113" s="6">
        <v>100</v>
      </c>
      <c r="AL113" s="6">
        <v>100</v>
      </c>
      <c r="AM113" s="6"/>
      <c r="AN113" s="6"/>
      <c r="AO113" s="6"/>
      <c r="AP113" s="6">
        <v>100</v>
      </c>
      <c r="AQ113" s="6">
        <v>400</v>
      </c>
      <c r="AR113" s="6"/>
      <c r="AS113" s="6"/>
      <c r="AT113" s="6">
        <v>50</v>
      </c>
      <c r="AU113" s="6"/>
      <c r="AV113" s="6"/>
      <c r="AW113" s="6"/>
      <c r="AX113" s="11">
        <f t="shared" si="6"/>
        <v>2050</v>
      </c>
      <c r="AY113" s="42" t="s">
        <v>11</v>
      </c>
      <c r="AZ113" s="6"/>
    </row>
    <row r="114" spans="1:52" s="4" customFormat="1" x14ac:dyDescent="0.2">
      <c r="A114" s="3" t="s">
        <v>68</v>
      </c>
      <c r="B114" s="4" t="s">
        <v>102</v>
      </c>
      <c r="C114" s="4" t="s">
        <v>105</v>
      </c>
      <c r="D114" s="6">
        <v>50</v>
      </c>
      <c r="E114" s="6"/>
      <c r="F114" s="6"/>
      <c r="G114" s="6"/>
      <c r="H114" s="6"/>
      <c r="I114" s="6">
        <v>100</v>
      </c>
      <c r="J114" s="6"/>
      <c r="K114" s="6"/>
      <c r="L114" s="6"/>
      <c r="M114" s="6"/>
      <c r="N114" s="6"/>
      <c r="O114" s="6"/>
      <c r="P114" s="6"/>
      <c r="Q114" s="6">
        <v>100</v>
      </c>
      <c r="R114" s="6">
        <v>4</v>
      </c>
      <c r="S114" s="6"/>
      <c r="T114" s="6"/>
      <c r="U114" s="7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>
        <v>200</v>
      </c>
      <c r="AR114" s="6"/>
      <c r="AS114" s="6"/>
      <c r="AT114" s="6"/>
      <c r="AU114" s="6"/>
      <c r="AV114" s="6">
        <v>100</v>
      </c>
      <c r="AW114" s="6"/>
      <c r="AX114" s="11">
        <f t="shared" si="6"/>
        <v>554</v>
      </c>
      <c r="AY114" s="42" t="s">
        <v>11</v>
      </c>
      <c r="AZ114" s="6"/>
    </row>
    <row r="115" spans="1:52" s="4" customFormat="1" x14ac:dyDescent="0.2">
      <c r="A115" s="3" t="s">
        <v>69</v>
      </c>
      <c r="B115" s="4" t="s">
        <v>108</v>
      </c>
      <c r="C115" s="4" t="s">
        <v>109</v>
      </c>
      <c r="D115" s="6">
        <v>2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6"/>
      <c r="W115" s="6"/>
      <c r="X115" s="6"/>
      <c r="Y115" s="6"/>
      <c r="Z115" s="6"/>
      <c r="AA115" s="6"/>
      <c r="AB115" s="6"/>
      <c r="AC115" s="6"/>
      <c r="AD115" s="6"/>
      <c r="AE115" s="5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>
        <v>2</v>
      </c>
      <c r="AR115" s="6"/>
      <c r="AS115" s="6">
        <v>1</v>
      </c>
      <c r="AT115" s="6"/>
      <c r="AU115" s="6"/>
      <c r="AV115" s="6"/>
      <c r="AW115" s="6"/>
      <c r="AX115" s="11">
        <f t="shared" si="6"/>
        <v>5</v>
      </c>
      <c r="AY115" s="42" t="s">
        <v>11</v>
      </c>
      <c r="AZ115" s="6"/>
    </row>
    <row r="116" spans="1:52" s="4" customFormat="1" x14ac:dyDescent="0.2">
      <c r="A116" s="3" t="s">
        <v>70</v>
      </c>
      <c r="B116" s="4" t="str">
        <f>"GOLYÓSTOLL (PENAC RB-085 B.)"</f>
        <v>GOLYÓSTOLL (PENAC RB-085 B.)</v>
      </c>
      <c r="C116" s="4" t="s">
        <v>111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>
        <v>1</v>
      </c>
      <c r="R116" s="6"/>
      <c r="S116" s="6"/>
      <c r="T116" s="6"/>
      <c r="U116" s="7"/>
      <c r="V116" s="6"/>
      <c r="W116" s="6"/>
      <c r="X116" s="6"/>
      <c r="Y116" s="6"/>
      <c r="Z116" s="6"/>
      <c r="AA116" s="6"/>
      <c r="AB116" s="6"/>
      <c r="AC116" s="6"/>
      <c r="AD116" s="6"/>
      <c r="AE116" s="5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>
        <v>2</v>
      </c>
      <c r="AW116" s="6"/>
      <c r="AX116" s="11">
        <f t="shared" si="6"/>
        <v>3</v>
      </c>
      <c r="AY116" s="42" t="s">
        <v>11</v>
      </c>
      <c r="AZ116" s="6"/>
    </row>
    <row r="117" spans="1:52" s="4" customFormat="1" x14ac:dyDescent="0.2">
      <c r="A117" s="3" t="s">
        <v>71</v>
      </c>
      <c r="B117" s="4" t="s">
        <v>113</v>
      </c>
      <c r="C117" s="4" t="s">
        <v>114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7"/>
      <c r="V117" s="6"/>
      <c r="W117" s="6"/>
      <c r="X117" s="6"/>
      <c r="Y117" s="6"/>
      <c r="Z117" s="6"/>
      <c r="AA117" s="6"/>
      <c r="AB117" s="6"/>
      <c r="AC117" s="6"/>
      <c r="AD117" s="6"/>
      <c r="AE117" s="5"/>
      <c r="AF117" s="6"/>
      <c r="AG117" s="6"/>
      <c r="AH117" s="6"/>
      <c r="AI117" s="6">
        <v>5</v>
      </c>
      <c r="AJ117" s="6">
        <v>5</v>
      </c>
      <c r="AK117" s="6">
        <v>5</v>
      </c>
      <c r="AL117" s="6">
        <v>5</v>
      </c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11">
        <f t="shared" si="6"/>
        <v>20</v>
      </c>
      <c r="AY117" s="42" t="s">
        <v>11</v>
      </c>
      <c r="AZ117" s="6"/>
    </row>
    <row r="118" spans="1:52" s="4" customFormat="1" x14ac:dyDescent="0.2">
      <c r="A118" s="3" t="s">
        <v>72</v>
      </c>
      <c r="B118" s="4" t="s">
        <v>113</v>
      </c>
      <c r="C118" s="4" t="s">
        <v>116</v>
      </c>
      <c r="D118" s="6">
        <v>50</v>
      </c>
      <c r="E118" s="6"/>
      <c r="F118" s="6"/>
      <c r="G118" s="6">
        <v>10</v>
      </c>
      <c r="H118" s="6"/>
      <c r="I118" s="6"/>
      <c r="J118" s="6"/>
      <c r="K118" s="6">
        <v>2</v>
      </c>
      <c r="L118" s="6"/>
      <c r="M118" s="6"/>
      <c r="N118" s="6"/>
      <c r="O118" s="6"/>
      <c r="P118" s="6"/>
      <c r="Q118" s="6"/>
      <c r="R118" s="6">
        <v>4</v>
      </c>
      <c r="S118" s="6"/>
      <c r="T118" s="6"/>
      <c r="U118" s="7"/>
      <c r="V118" s="6"/>
      <c r="W118" s="6"/>
      <c r="X118" s="6"/>
      <c r="Y118" s="6"/>
      <c r="Z118" s="6"/>
      <c r="AA118" s="6"/>
      <c r="AB118" s="6"/>
      <c r="AC118" s="6"/>
      <c r="AD118" s="6"/>
      <c r="AE118" s="5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>
        <v>50</v>
      </c>
      <c r="AX118" s="11">
        <f t="shared" si="6"/>
        <v>116</v>
      </c>
      <c r="AY118" s="42" t="s">
        <v>11</v>
      </c>
      <c r="AZ118" s="6"/>
    </row>
    <row r="119" spans="1:52" s="4" customFormat="1" x14ac:dyDescent="0.2">
      <c r="A119" s="3" t="s">
        <v>73</v>
      </c>
      <c r="B119" s="4" t="s">
        <v>121</v>
      </c>
      <c r="C119" s="4" t="s">
        <v>116</v>
      </c>
      <c r="D119" s="6">
        <v>50</v>
      </c>
      <c r="E119" s="6"/>
      <c r="F119" s="6"/>
      <c r="G119" s="6"/>
      <c r="H119" s="6"/>
      <c r="I119" s="6"/>
      <c r="J119" s="6"/>
      <c r="K119" s="6">
        <v>2</v>
      </c>
      <c r="L119" s="6"/>
      <c r="M119" s="6"/>
      <c r="N119" s="6"/>
      <c r="O119" s="6"/>
      <c r="P119" s="6"/>
      <c r="Q119" s="6">
        <v>1</v>
      </c>
      <c r="R119" s="6">
        <v>4</v>
      </c>
      <c r="S119" s="6"/>
      <c r="T119" s="6"/>
      <c r="U119" s="7"/>
      <c r="V119" s="6"/>
      <c r="W119" s="6"/>
      <c r="X119" s="6"/>
      <c r="Y119" s="6"/>
      <c r="Z119" s="6"/>
      <c r="AA119" s="6"/>
      <c r="AB119" s="6"/>
      <c r="AC119" s="6"/>
      <c r="AD119" s="6"/>
      <c r="AE119" s="5"/>
      <c r="AF119" s="6"/>
      <c r="AG119" s="6"/>
      <c r="AH119" s="6"/>
      <c r="AI119" s="6">
        <v>2</v>
      </c>
      <c r="AJ119" s="6">
        <v>2</v>
      </c>
      <c r="AK119" s="6">
        <v>2</v>
      </c>
      <c r="AL119" s="6">
        <v>2</v>
      </c>
      <c r="AM119" s="6"/>
      <c r="AN119" s="6"/>
      <c r="AO119" s="6">
        <v>3</v>
      </c>
      <c r="AP119" s="6"/>
      <c r="AQ119" s="6"/>
      <c r="AR119" s="6"/>
      <c r="AS119" s="6"/>
      <c r="AT119" s="6"/>
      <c r="AU119" s="6"/>
      <c r="AV119" s="6"/>
      <c r="AW119" s="6">
        <v>36</v>
      </c>
      <c r="AX119" s="11">
        <f t="shared" si="6"/>
        <v>104</v>
      </c>
      <c r="AY119" s="42" t="s">
        <v>11</v>
      </c>
      <c r="AZ119" s="6"/>
    </row>
    <row r="120" spans="1:52" s="4" customFormat="1" x14ac:dyDescent="0.2">
      <c r="A120" s="3" t="s">
        <v>74</v>
      </c>
      <c r="B120" s="4" t="s">
        <v>121</v>
      </c>
      <c r="C120" s="4" t="s">
        <v>118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7"/>
      <c r="V120" s="6"/>
      <c r="W120" s="6"/>
      <c r="X120" s="6"/>
      <c r="Y120" s="6"/>
      <c r="Z120" s="6"/>
      <c r="AA120" s="6"/>
      <c r="AB120" s="6"/>
      <c r="AC120" s="6"/>
      <c r="AD120" s="6"/>
      <c r="AE120" s="5"/>
      <c r="AF120" s="6"/>
      <c r="AG120" s="6"/>
      <c r="AH120" s="6"/>
      <c r="AI120" s="6"/>
      <c r="AJ120" s="6"/>
      <c r="AK120" s="6"/>
      <c r="AL120" s="6"/>
      <c r="AM120" s="6"/>
      <c r="AN120" s="6"/>
      <c r="AO120" s="6">
        <v>2</v>
      </c>
      <c r="AP120" s="6"/>
      <c r="AQ120" s="6"/>
      <c r="AR120" s="6"/>
      <c r="AS120" s="6"/>
      <c r="AT120" s="6"/>
      <c r="AU120" s="6"/>
      <c r="AV120" s="6"/>
      <c r="AW120" s="6"/>
      <c r="AX120" s="11">
        <f t="shared" si="6"/>
        <v>2</v>
      </c>
      <c r="AY120" s="42" t="s">
        <v>11</v>
      </c>
      <c r="AZ120" s="6"/>
    </row>
    <row r="121" spans="1:52" s="4" customFormat="1" ht="11.25" customHeight="1" x14ac:dyDescent="0.2">
      <c r="A121" s="3" t="s">
        <v>80</v>
      </c>
      <c r="B121" s="4" t="s">
        <v>125</v>
      </c>
      <c r="C121" s="4" t="s">
        <v>116</v>
      </c>
      <c r="D121" s="6">
        <v>12</v>
      </c>
      <c r="E121" s="6"/>
      <c r="F121" s="6"/>
      <c r="G121" s="6"/>
      <c r="H121" s="6"/>
      <c r="I121" s="6"/>
      <c r="J121" s="6"/>
      <c r="K121" s="6">
        <v>2</v>
      </c>
      <c r="L121" s="6"/>
      <c r="M121" s="6"/>
      <c r="N121" s="6"/>
      <c r="O121" s="6"/>
      <c r="P121" s="6"/>
      <c r="Q121" s="6"/>
      <c r="R121" s="6">
        <v>6</v>
      </c>
      <c r="S121" s="6"/>
      <c r="T121" s="6"/>
      <c r="U121" s="7"/>
      <c r="V121" s="6"/>
      <c r="W121" s="6"/>
      <c r="X121" s="6"/>
      <c r="Y121" s="6"/>
      <c r="Z121" s="6"/>
      <c r="AA121" s="6"/>
      <c r="AB121" s="6"/>
      <c r="AC121" s="6"/>
      <c r="AD121" s="6"/>
      <c r="AE121" s="5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>
        <v>1</v>
      </c>
      <c r="AR121" s="6">
        <v>2</v>
      </c>
      <c r="AS121" s="6"/>
      <c r="AT121" s="6"/>
      <c r="AU121" s="6">
        <v>1</v>
      </c>
      <c r="AV121" s="6"/>
      <c r="AW121" s="6"/>
      <c r="AX121" s="11">
        <f t="shared" si="6"/>
        <v>24</v>
      </c>
      <c r="AY121" s="42" t="s">
        <v>11</v>
      </c>
      <c r="AZ121" s="6"/>
    </row>
    <row r="122" spans="1:52" s="4" customFormat="1" x14ac:dyDescent="0.2">
      <c r="A122" s="3" t="s">
        <v>82</v>
      </c>
      <c r="B122" s="4" t="s">
        <v>127</v>
      </c>
      <c r="C122" s="4" t="s">
        <v>116</v>
      </c>
      <c r="D122" s="6">
        <v>10</v>
      </c>
      <c r="E122" s="6"/>
      <c r="F122" s="6">
        <v>20</v>
      </c>
      <c r="G122" s="6"/>
      <c r="H122" s="6"/>
      <c r="I122" s="6"/>
      <c r="J122" s="6"/>
      <c r="K122" s="6">
        <v>2</v>
      </c>
      <c r="L122" s="6"/>
      <c r="M122" s="6"/>
      <c r="N122" s="6"/>
      <c r="O122" s="6"/>
      <c r="P122" s="6"/>
      <c r="Q122" s="6"/>
      <c r="R122" s="6">
        <v>6</v>
      </c>
      <c r="S122" s="6"/>
      <c r="T122" s="6"/>
      <c r="U122" s="7"/>
      <c r="V122" s="6"/>
      <c r="W122" s="6"/>
      <c r="X122" s="6"/>
      <c r="Y122" s="6"/>
      <c r="Z122" s="6"/>
      <c r="AA122" s="6"/>
      <c r="AB122" s="6"/>
      <c r="AC122" s="6"/>
      <c r="AD122" s="6"/>
      <c r="AE122" s="5"/>
      <c r="AF122" s="6"/>
      <c r="AG122" s="6"/>
      <c r="AH122" s="6"/>
      <c r="AI122" s="6">
        <v>2</v>
      </c>
      <c r="AJ122" s="6">
        <v>2</v>
      </c>
      <c r="AK122" s="6">
        <v>2</v>
      </c>
      <c r="AL122" s="6">
        <v>2</v>
      </c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11">
        <f t="shared" si="6"/>
        <v>46</v>
      </c>
      <c r="AY122" s="42" t="s">
        <v>11</v>
      </c>
      <c r="AZ122" s="6"/>
    </row>
    <row r="123" spans="1:52" s="4" customFormat="1" x14ac:dyDescent="0.2">
      <c r="A123" s="3" t="s">
        <v>84</v>
      </c>
      <c r="B123" s="4" t="s">
        <v>130</v>
      </c>
      <c r="C123" s="4" t="s">
        <v>131</v>
      </c>
      <c r="D123" s="6">
        <v>10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6"/>
      <c r="W123" s="6"/>
      <c r="X123" s="6"/>
      <c r="Y123" s="6"/>
      <c r="Z123" s="6"/>
      <c r="AA123" s="6"/>
      <c r="AB123" s="6"/>
      <c r="AC123" s="6"/>
      <c r="AD123" s="6"/>
      <c r="AE123" s="5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>
        <v>2</v>
      </c>
      <c r="AQ123" s="6"/>
      <c r="AR123" s="6"/>
      <c r="AS123" s="6"/>
      <c r="AT123" s="6"/>
      <c r="AU123" s="6"/>
      <c r="AV123" s="6">
        <v>2</v>
      </c>
      <c r="AW123" s="6"/>
      <c r="AX123" s="11">
        <f t="shared" si="6"/>
        <v>14</v>
      </c>
      <c r="AY123" s="42" t="s">
        <v>11</v>
      </c>
      <c r="AZ123" s="6"/>
    </row>
    <row r="124" spans="1:52" s="4" customFormat="1" x14ac:dyDescent="0.2">
      <c r="A124" s="3" t="s">
        <v>86</v>
      </c>
      <c r="B124" s="4" t="s">
        <v>130</v>
      </c>
      <c r="C124" s="4" t="s">
        <v>133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7"/>
      <c r="V124" s="6"/>
      <c r="W124" s="6"/>
      <c r="X124" s="6"/>
      <c r="Y124" s="6"/>
      <c r="Z124" s="6"/>
      <c r="AA124" s="6"/>
      <c r="AB124" s="6"/>
      <c r="AC124" s="6"/>
      <c r="AD124" s="6"/>
      <c r="AE124" s="5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>
        <v>2</v>
      </c>
      <c r="AQ124" s="6"/>
      <c r="AR124" s="6"/>
      <c r="AS124" s="6"/>
      <c r="AT124" s="6"/>
      <c r="AU124" s="6"/>
      <c r="AV124" s="6"/>
      <c r="AW124" s="6"/>
      <c r="AX124" s="11">
        <f t="shared" si="6"/>
        <v>2</v>
      </c>
      <c r="AY124" s="42" t="s">
        <v>11</v>
      </c>
      <c r="AZ124" s="6"/>
    </row>
    <row r="125" spans="1:52" s="2" customFormat="1" hidden="1" x14ac:dyDescent="0.2">
      <c r="A125" s="3" t="s">
        <v>87</v>
      </c>
      <c r="B125" s="4" t="s">
        <v>134</v>
      </c>
      <c r="C125" s="4" t="str">
        <f>"A/4"</f>
        <v>A/4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6"/>
      <c r="W125" s="6"/>
      <c r="X125" s="6"/>
      <c r="Y125" s="6"/>
      <c r="Z125" s="6"/>
      <c r="AA125" s="6"/>
      <c r="AB125" s="6"/>
      <c r="AC125" s="6"/>
      <c r="AD125" s="6"/>
      <c r="AE125" s="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11">
        <f t="shared" si="6"/>
        <v>0</v>
      </c>
      <c r="AY125" s="42" t="s">
        <v>11</v>
      </c>
      <c r="AZ125" s="11"/>
    </row>
    <row r="126" spans="1:52" s="4" customFormat="1" x14ac:dyDescent="0.2">
      <c r="A126" s="3" t="s">
        <v>87</v>
      </c>
      <c r="B126" s="4" t="s">
        <v>136</v>
      </c>
      <c r="C126" s="4" t="s">
        <v>137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>
        <v>4</v>
      </c>
      <c r="S126" s="6"/>
      <c r="T126" s="6">
        <v>2</v>
      </c>
      <c r="U126" s="7"/>
      <c r="V126" s="6"/>
      <c r="W126" s="6"/>
      <c r="X126" s="6"/>
      <c r="Y126" s="6"/>
      <c r="Z126" s="6"/>
      <c r="AA126" s="6"/>
      <c r="AB126" s="6"/>
      <c r="AC126" s="6"/>
      <c r="AD126" s="6"/>
      <c r="AE126" s="5"/>
      <c r="AF126" s="6"/>
      <c r="AG126" s="6"/>
      <c r="AH126" s="6"/>
      <c r="AI126" s="6">
        <v>2</v>
      </c>
      <c r="AJ126" s="6">
        <v>2</v>
      </c>
      <c r="AK126" s="6">
        <v>2</v>
      </c>
      <c r="AL126" s="6">
        <v>2</v>
      </c>
      <c r="AM126" s="6"/>
      <c r="AN126" s="6"/>
      <c r="AO126" s="6"/>
      <c r="AP126" s="6"/>
      <c r="AQ126" s="6"/>
      <c r="AR126" s="6"/>
      <c r="AS126" s="6"/>
      <c r="AT126" s="6">
        <v>2</v>
      </c>
      <c r="AU126" s="6">
        <v>2</v>
      </c>
      <c r="AV126" s="6"/>
      <c r="AW126" s="6"/>
      <c r="AX126" s="11">
        <f t="shared" si="6"/>
        <v>18</v>
      </c>
      <c r="AY126" s="42" t="s">
        <v>11</v>
      </c>
      <c r="AZ126" s="6"/>
    </row>
    <row r="127" spans="1:52" s="4" customFormat="1" x14ac:dyDescent="0.2">
      <c r="A127" s="3" t="s">
        <v>88</v>
      </c>
      <c r="B127" s="4" t="s">
        <v>140</v>
      </c>
      <c r="C127" s="4" t="s">
        <v>137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7"/>
      <c r="V127" s="6"/>
      <c r="W127" s="6"/>
      <c r="X127" s="6"/>
      <c r="Y127" s="6"/>
      <c r="Z127" s="6"/>
      <c r="AA127" s="6"/>
      <c r="AB127" s="6"/>
      <c r="AC127" s="6"/>
      <c r="AD127" s="6"/>
      <c r="AE127" s="5"/>
      <c r="AF127" s="6"/>
      <c r="AG127" s="6"/>
      <c r="AH127" s="6"/>
      <c r="AI127" s="6">
        <v>2</v>
      </c>
      <c r="AJ127" s="6">
        <v>2</v>
      </c>
      <c r="AK127" s="6">
        <v>2</v>
      </c>
      <c r="AL127" s="6">
        <v>2</v>
      </c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11">
        <f t="shared" si="6"/>
        <v>8</v>
      </c>
      <c r="AY127" s="42" t="s">
        <v>11</v>
      </c>
      <c r="AZ127" s="6"/>
    </row>
    <row r="128" spans="1:52" s="2" customFormat="1" hidden="1" x14ac:dyDescent="0.2">
      <c r="A128" s="3" t="s">
        <v>90</v>
      </c>
      <c r="B128" s="4" t="str">
        <f>"LEFŰZHETŐS TASAK"</f>
        <v>LEFŰZHETŐS TASAK</v>
      </c>
      <c r="C128" s="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  <c r="V128" s="6"/>
      <c r="W128" s="6"/>
      <c r="X128" s="6"/>
      <c r="Y128" s="6"/>
      <c r="Z128" s="6"/>
      <c r="AA128" s="6"/>
      <c r="AB128" s="6"/>
      <c r="AC128" s="6"/>
      <c r="AD128" s="6"/>
      <c r="AE128" s="5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11">
        <f t="shared" si="6"/>
        <v>0</v>
      </c>
      <c r="AY128" s="42" t="s">
        <v>11</v>
      </c>
      <c r="AZ128" s="11"/>
    </row>
    <row r="129" spans="1:52" s="4" customFormat="1" hidden="1" x14ac:dyDescent="0.2">
      <c r="A129" s="3" t="s">
        <v>92</v>
      </c>
      <c r="B129" s="4" t="str">
        <f>"LEPORELLÓ (1 PLD-OS)"</f>
        <v>LEPORELLÓ (1 PLD-OS)</v>
      </c>
      <c r="C129" s="4" t="s">
        <v>141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7"/>
      <c r="V129" s="6"/>
      <c r="W129" s="6"/>
      <c r="X129" s="6"/>
      <c r="Y129" s="6"/>
      <c r="Z129" s="6"/>
      <c r="AA129" s="6"/>
      <c r="AB129" s="6"/>
      <c r="AC129" s="6"/>
      <c r="AD129" s="6"/>
      <c r="AE129" s="5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11">
        <f t="shared" si="6"/>
        <v>0</v>
      </c>
      <c r="AY129" s="42" t="s">
        <v>11</v>
      </c>
      <c r="AZ129" s="6"/>
    </row>
    <row r="130" spans="1:52" s="4" customFormat="1" hidden="1" x14ac:dyDescent="0.2">
      <c r="A130" s="3" t="s">
        <v>93</v>
      </c>
      <c r="B130" s="4" t="str">
        <f>"LEPORELLÓ (2 PLD-OS)"</f>
        <v>LEPORELLÓ (2 PLD-OS)</v>
      </c>
      <c r="C130" s="4" t="s">
        <v>141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7"/>
      <c r="V130" s="6"/>
      <c r="W130" s="6"/>
      <c r="X130" s="6"/>
      <c r="Y130" s="6"/>
      <c r="Z130" s="6"/>
      <c r="AA130" s="6"/>
      <c r="AB130" s="6"/>
      <c r="AC130" s="6"/>
      <c r="AD130" s="6"/>
      <c r="AE130" s="5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11">
        <f t="shared" si="6"/>
        <v>0</v>
      </c>
      <c r="AY130" s="42" t="s">
        <v>11</v>
      </c>
      <c r="AZ130" s="6"/>
    </row>
    <row r="131" spans="1:52" s="4" customFormat="1" hidden="1" x14ac:dyDescent="0.2">
      <c r="A131" s="3" t="s">
        <v>94</v>
      </c>
      <c r="B131" s="4" t="str">
        <f>"LEPORELLO (SZÉLES) MÜLLER"</f>
        <v>LEPORELLO (SZÉLES) MÜLLER</v>
      </c>
      <c r="C131" s="4" t="str">
        <f>"382/1"</f>
        <v>382/1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7"/>
      <c r="V131" s="6"/>
      <c r="W131" s="6"/>
      <c r="X131" s="6"/>
      <c r="Y131" s="6"/>
      <c r="Z131" s="6"/>
      <c r="AA131" s="6"/>
      <c r="AB131" s="6"/>
      <c r="AC131" s="6"/>
      <c r="AD131" s="6"/>
      <c r="AE131" s="5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11">
        <f t="shared" si="6"/>
        <v>0</v>
      </c>
      <c r="AY131" s="42" t="s">
        <v>11</v>
      </c>
      <c r="AZ131" s="6"/>
    </row>
    <row r="132" spans="1:52" s="2" customFormat="1" hidden="1" x14ac:dyDescent="0.2">
      <c r="A132" s="3" t="s">
        <v>95</v>
      </c>
      <c r="B132" s="4" t="str">
        <f>"LÉPTÉKES VONALZÓ"</f>
        <v>LÉPTÉKES VONALZÓ</v>
      </c>
      <c r="C132" s="4" t="str">
        <f>"601"</f>
        <v>601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7"/>
      <c r="V132" s="6"/>
      <c r="W132" s="6"/>
      <c r="X132" s="6"/>
      <c r="Y132" s="6"/>
      <c r="Z132" s="6"/>
      <c r="AA132" s="6"/>
      <c r="AB132" s="6"/>
      <c r="AC132" s="6"/>
      <c r="AD132" s="6"/>
      <c r="AE132" s="5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11">
        <f t="shared" si="6"/>
        <v>0</v>
      </c>
      <c r="AY132" s="42" t="s">
        <v>11</v>
      </c>
      <c r="AZ132" s="11"/>
    </row>
    <row r="133" spans="1:52" s="4" customFormat="1" hidden="1" x14ac:dyDescent="0.2">
      <c r="A133" s="3" t="s">
        <v>96</v>
      </c>
      <c r="B133" s="4" t="str">
        <f>"LEVÉLBONTÓ KÉS"</f>
        <v>LEVÉLBONTÓ KÉS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7"/>
      <c r="V133" s="6"/>
      <c r="W133" s="6"/>
      <c r="X133" s="6"/>
      <c r="Y133" s="6"/>
      <c r="Z133" s="6"/>
      <c r="AA133" s="6"/>
      <c r="AB133" s="6"/>
      <c r="AC133" s="6"/>
      <c r="AD133" s="6"/>
      <c r="AE133" s="5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11">
        <f t="shared" si="6"/>
        <v>0</v>
      </c>
      <c r="AY133" s="42" t="s">
        <v>11</v>
      </c>
      <c r="AZ133" s="6"/>
    </row>
    <row r="134" spans="1:52" s="2" customFormat="1" hidden="1" x14ac:dyDescent="0.2">
      <c r="A134" s="3" t="s">
        <v>99</v>
      </c>
      <c r="B134" s="4" t="str">
        <f>"LYUKASZTÓGÉP"</f>
        <v>LYUKASZTÓGÉP</v>
      </c>
      <c r="C134" s="4" t="str">
        <f>"EAGLE 837 L"</f>
        <v>EAGLE 837 L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7"/>
      <c r="V134" s="6"/>
      <c r="W134" s="6"/>
      <c r="X134" s="6"/>
      <c r="Y134" s="6"/>
      <c r="Z134" s="6"/>
      <c r="AA134" s="6"/>
      <c r="AB134" s="6"/>
      <c r="AC134" s="6"/>
      <c r="AD134" s="6"/>
      <c r="AE134" s="5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11">
        <f t="shared" si="6"/>
        <v>0</v>
      </c>
      <c r="AY134" s="42" t="s">
        <v>11</v>
      </c>
      <c r="AZ134" s="11"/>
    </row>
    <row r="135" spans="1:52" s="2" customFormat="1" hidden="1" x14ac:dyDescent="0.2">
      <c r="A135" s="3" t="s">
        <v>100</v>
      </c>
      <c r="B135" s="4" t="str">
        <f>"LYUKASZTÓGÉP"</f>
        <v>LYUKASZTÓGÉP</v>
      </c>
      <c r="C135" s="4" t="str">
        <f>"RAPESCO 820-P"</f>
        <v>RAPESCO 820-P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7"/>
      <c r="V135" s="6"/>
      <c r="W135" s="6"/>
      <c r="X135" s="6"/>
      <c r="Y135" s="6"/>
      <c r="Z135" s="6"/>
      <c r="AA135" s="6"/>
      <c r="AB135" s="6"/>
      <c r="AC135" s="6"/>
      <c r="AD135" s="6"/>
      <c r="AE135" s="5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11">
        <f t="shared" si="6"/>
        <v>0</v>
      </c>
      <c r="AY135" s="42" t="s">
        <v>11</v>
      </c>
      <c r="AZ135" s="11"/>
    </row>
    <row r="136" spans="1:52" s="2" customFormat="1" hidden="1" x14ac:dyDescent="0.2">
      <c r="A136" s="3" t="s">
        <v>101</v>
      </c>
      <c r="B136" s="4" t="str">
        <f>"LYUKASZTÓGÉP"</f>
        <v>LYUKASZTÓGÉP</v>
      </c>
      <c r="C136" s="4" t="str">
        <f>"SAX 318"</f>
        <v>SAX 318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7"/>
      <c r="V136" s="6"/>
      <c r="W136" s="6"/>
      <c r="X136" s="6"/>
      <c r="Y136" s="6"/>
      <c r="Z136" s="6"/>
      <c r="AA136" s="6"/>
      <c r="AB136" s="6"/>
      <c r="AC136" s="6"/>
      <c r="AD136" s="6"/>
      <c r="AE136" s="5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11">
        <f t="shared" si="6"/>
        <v>0</v>
      </c>
      <c r="AY136" s="42" t="s">
        <v>11</v>
      </c>
      <c r="AZ136" s="11"/>
    </row>
    <row r="137" spans="1:52" s="2" customFormat="1" hidden="1" x14ac:dyDescent="0.2">
      <c r="A137" s="3" t="s">
        <v>104</v>
      </c>
      <c r="B137" s="4" t="str">
        <f>"MAGIC CLIP ADAGOLÓ"</f>
        <v>MAGIC CLIP ADAGOLÓ</v>
      </c>
      <c r="C137" s="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6"/>
      <c r="W137" s="6"/>
      <c r="X137" s="6"/>
      <c r="Y137" s="6"/>
      <c r="Z137" s="6"/>
      <c r="AA137" s="6"/>
      <c r="AB137" s="6"/>
      <c r="AC137" s="6"/>
      <c r="AD137" s="6"/>
      <c r="AE137" s="5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11">
        <f t="shared" si="6"/>
        <v>0</v>
      </c>
      <c r="AY137" s="42" t="s">
        <v>11</v>
      </c>
      <c r="AZ137" s="11"/>
    </row>
    <row r="138" spans="1:52" s="2" customFormat="1" x14ac:dyDescent="0.2">
      <c r="A138" s="3" t="s">
        <v>90</v>
      </c>
      <c r="B138" s="4" t="s">
        <v>143</v>
      </c>
      <c r="C138" s="4" t="s">
        <v>144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7"/>
      <c r="V138" s="6"/>
      <c r="W138" s="6"/>
      <c r="X138" s="6"/>
      <c r="Y138" s="6"/>
      <c r="Z138" s="6"/>
      <c r="AA138" s="6"/>
      <c r="AB138" s="6"/>
      <c r="AC138" s="6"/>
      <c r="AD138" s="6"/>
      <c r="AE138" s="5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>
        <v>6</v>
      </c>
      <c r="AW138" s="6"/>
      <c r="AX138" s="11">
        <f t="shared" si="6"/>
        <v>6</v>
      </c>
      <c r="AY138" s="42" t="s">
        <v>11</v>
      </c>
      <c r="AZ138" s="11"/>
    </row>
    <row r="139" spans="1:52" s="2" customFormat="1" x14ac:dyDescent="0.2">
      <c r="A139" s="3" t="s">
        <v>92</v>
      </c>
      <c r="B139" s="4" t="s">
        <v>147</v>
      </c>
      <c r="C139" s="4" t="s">
        <v>148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>
        <v>2</v>
      </c>
      <c r="S139" s="6"/>
      <c r="T139" s="6"/>
      <c r="U139" s="7"/>
      <c r="V139" s="6"/>
      <c r="W139" s="6"/>
      <c r="X139" s="6"/>
      <c r="Y139" s="6"/>
      <c r="Z139" s="6"/>
      <c r="AA139" s="6"/>
      <c r="AB139" s="6"/>
      <c r="AC139" s="6"/>
      <c r="AD139" s="6"/>
      <c r="AE139" s="5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11">
        <f t="shared" si="6"/>
        <v>2</v>
      </c>
      <c r="AY139" s="42" t="s">
        <v>11</v>
      </c>
      <c r="AZ139" s="11"/>
    </row>
    <row r="140" spans="1:52" s="2" customFormat="1" x14ac:dyDescent="0.2">
      <c r="A140" s="3" t="s">
        <v>93</v>
      </c>
      <c r="B140" s="4" t="s">
        <v>150</v>
      </c>
      <c r="C140" s="4"/>
      <c r="D140" s="6">
        <v>10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>
        <v>3</v>
      </c>
      <c r="S140" s="6"/>
      <c r="T140" s="6">
        <v>2</v>
      </c>
      <c r="U140" s="7"/>
      <c r="V140" s="6"/>
      <c r="W140" s="6"/>
      <c r="X140" s="6"/>
      <c r="Y140" s="6"/>
      <c r="Z140" s="6"/>
      <c r="AA140" s="6"/>
      <c r="AB140" s="6"/>
      <c r="AC140" s="6"/>
      <c r="AD140" s="6"/>
      <c r="AE140" s="5"/>
      <c r="AF140" s="6"/>
      <c r="AG140" s="6"/>
      <c r="AH140" s="6"/>
      <c r="AI140" s="6">
        <v>2</v>
      </c>
      <c r="AJ140" s="6">
        <v>2</v>
      </c>
      <c r="AK140" s="6">
        <v>2</v>
      </c>
      <c r="AL140" s="6">
        <v>2</v>
      </c>
      <c r="AM140" s="6"/>
      <c r="AN140" s="6"/>
      <c r="AO140" s="6">
        <v>1</v>
      </c>
      <c r="AP140" s="6">
        <v>2</v>
      </c>
      <c r="AQ140" s="6">
        <v>2</v>
      </c>
      <c r="AR140" s="6"/>
      <c r="AS140" s="6"/>
      <c r="AT140" s="6"/>
      <c r="AU140" s="6">
        <v>1</v>
      </c>
      <c r="AV140" s="6">
        <v>4</v>
      </c>
      <c r="AW140" s="6"/>
      <c r="AX140" s="11">
        <f t="shared" si="6"/>
        <v>33</v>
      </c>
      <c r="AY140" s="42" t="s">
        <v>11</v>
      </c>
      <c r="AZ140" s="11"/>
    </row>
    <row r="141" spans="1:52" s="2" customFormat="1" x14ac:dyDescent="0.2">
      <c r="A141" s="3" t="s">
        <v>94</v>
      </c>
      <c r="B141" s="4" t="s">
        <v>152</v>
      </c>
      <c r="C141" s="4" t="s">
        <v>153</v>
      </c>
      <c r="D141" s="6">
        <v>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1</v>
      </c>
      <c r="U141" s="7"/>
      <c r="V141" s="6"/>
      <c r="W141" s="6"/>
      <c r="X141" s="6"/>
      <c r="Y141" s="6"/>
      <c r="Z141" s="6"/>
      <c r="AA141" s="6"/>
      <c r="AB141" s="6"/>
      <c r="AC141" s="6"/>
      <c r="AD141" s="6"/>
      <c r="AE141" s="5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11">
        <f t="shared" si="6"/>
        <v>6</v>
      </c>
      <c r="AY141" s="42" t="s">
        <v>11</v>
      </c>
      <c r="AZ141" s="11"/>
    </row>
    <row r="142" spans="1:52" s="2" customFormat="1" x14ac:dyDescent="0.2">
      <c r="A142" s="3" t="s">
        <v>95</v>
      </c>
      <c r="B142" s="4" t="s">
        <v>134</v>
      </c>
      <c r="C142" s="4" t="s">
        <v>156</v>
      </c>
      <c r="D142" s="6">
        <v>10</v>
      </c>
      <c r="E142" s="6"/>
      <c r="F142" s="6">
        <v>4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7"/>
      <c r="V142" s="6"/>
      <c r="W142" s="6"/>
      <c r="X142" s="6"/>
      <c r="Y142" s="6"/>
      <c r="Z142" s="6"/>
      <c r="AA142" s="6"/>
      <c r="AB142" s="6"/>
      <c r="AC142" s="6"/>
      <c r="AD142" s="6"/>
      <c r="AE142" s="5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11">
        <f t="shared" si="6"/>
        <v>14</v>
      </c>
      <c r="AY142" s="42" t="s">
        <v>11</v>
      </c>
      <c r="AZ142" s="11"/>
    </row>
    <row r="143" spans="1:52" s="2" customFormat="1" hidden="1" x14ac:dyDescent="0.2">
      <c r="A143" s="3" t="s">
        <v>96</v>
      </c>
      <c r="B143" s="4" t="s">
        <v>157</v>
      </c>
      <c r="C143" s="4" t="str">
        <f>"A/4"</f>
        <v>A/4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6"/>
      <c r="W143" s="6"/>
      <c r="X143" s="6"/>
      <c r="Y143" s="6"/>
      <c r="Z143" s="6"/>
      <c r="AA143" s="6"/>
      <c r="AB143" s="6"/>
      <c r="AC143" s="6"/>
      <c r="AD143" s="6"/>
      <c r="AE143" s="5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11">
        <f t="shared" si="6"/>
        <v>0</v>
      </c>
      <c r="AY143" s="42" t="s">
        <v>11</v>
      </c>
      <c r="AZ143" s="11"/>
    </row>
    <row r="144" spans="1:52" s="2" customFormat="1" x14ac:dyDescent="0.2">
      <c r="A144" s="3" t="s">
        <v>96</v>
      </c>
      <c r="B144" s="4" t="s">
        <v>134</v>
      </c>
      <c r="C144" s="4" t="s">
        <v>159</v>
      </c>
      <c r="D144" s="6"/>
      <c r="E144" s="6"/>
      <c r="F144" s="6"/>
      <c r="G144" s="6"/>
      <c r="H144" s="6"/>
      <c r="I144" s="6"/>
      <c r="J144" s="6"/>
      <c r="K144" s="6">
        <v>4</v>
      </c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6"/>
      <c r="W144" s="6"/>
      <c r="X144" s="6"/>
      <c r="Y144" s="6"/>
      <c r="Z144" s="6"/>
      <c r="AA144" s="6"/>
      <c r="AB144" s="6"/>
      <c r="AC144" s="6"/>
      <c r="AD144" s="6"/>
      <c r="AE144" s="5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11">
        <f t="shared" si="6"/>
        <v>4</v>
      </c>
      <c r="AY144" s="42" t="s">
        <v>11</v>
      </c>
      <c r="AZ144" s="11"/>
    </row>
    <row r="145" spans="1:52" s="2" customFormat="1" x14ac:dyDescent="0.2">
      <c r="A145" s="3" t="s">
        <v>99</v>
      </c>
      <c r="B145" s="4" t="s">
        <v>134</v>
      </c>
      <c r="C145" s="4" t="s">
        <v>161</v>
      </c>
      <c r="D145" s="6"/>
      <c r="E145" s="6"/>
      <c r="F145" s="6">
        <v>4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6"/>
      <c r="W145" s="6"/>
      <c r="X145" s="6"/>
      <c r="Y145" s="6"/>
      <c r="Z145" s="6"/>
      <c r="AA145" s="6"/>
      <c r="AB145" s="6"/>
      <c r="AC145" s="6"/>
      <c r="AD145" s="6"/>
      <c r="AE145" s="5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11">
        <f t="shared" si="6"/>
        <v>4</v>
      </c>
      <c r="AY145" s="42" t="s">
        <v>11</v>
      </c>
      <c r="AZ145" s="11"/>
    </row>
    <row r="146" spans="1:52" s="2" customFormat="1" x14ac:dyDescent="0.2">
      <c r="A146" s="3" t="s">
        <v>100</v>
      </c>
      <c r="B146" s="4" t="s">
        <v>134</v>
      </c>
      <c r="C146" s="4" t="s">
        <v>163</v>
      </c>
      <c r="D146" s="6">
        <v>5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6"/>
      <c r="W146" s="6"/>
      <c r="X146" s="6"/>
      <c r="Y146" s="6"/>
      <c r="Z146" s="6"/>
      <c r="AA146" s="6"/>
      <c r="AB146" s="6"/>
      <c r="AC146" s="6"/>
      <c r="AD146" s="6"/>
      <c r="AE146" s="5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11">
        <f t="shared" si="6"/>
        <v>5</v>
      </c>
      <c r="AY146" s="42" t="s">
        <v>11</v>
      </c>
      <c r="AZ146" s="11"/>
    </row>
    <row r="147" spans="1:52" s="2" customFormat="1" x14ac:dyDescent="0.2">
      <c r="A147" s="3" t="s">
        <v>101</v>
      </c>
      <c r="B147" s="4" t="s">
        <v>134</v>
      </c>
      <c r="C147" s="4" t="s">
        <v>166</v>
      </c>
      <c r="D147" s="6"/>
      <c r="E147" s="6"/>
      <c r="F147" s="6">
        <v>4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6"/>
      <c r="W147" s="6"/>
      <c r="X147" s="6"/>
      <c r="Y147" s="6"/>
      <c r="Z147" s="6"/>
      <c r="AA147" s="6"/>
      <c r="AB147" s="6"/>
      <c r="AC147" s="6"/>
      <c r="AD147" s="6"/>
      <c r="AE147" s="5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11">
        <f t="shared" si="6"/>
        <v>4</v>
      </c>
      <c r="AY147" s="42" t="s">
        <v>11</v>
      </c>
      <c r="AZ147" s="11"/>
    </row>
    <row r="148" spans="1:52" s="2" customFormat="1" hidden="1" x14ac:dyDescent="0.2">
      <c r="A148" s="3" t="s">
        <v>104</v>
      </c>
      <c r="B148" s="4" t="s">
        <v>167</v>
      </c>
      <c r="C148" s="4" t="s">
        <v>89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6"/>
      <c r="W148" s="6"/>
      <c r="X148" s="6"/>
      <c r="Y148" s="6"/>
      <c r="Z148" s="6"/>
      <c r="AA148" s="6"/>
      <c r="AB148" s="6"/>
      <c r="AC148" s="6"/>
      <c r="AD148" s="6"/>
      <c r="AE148" s="5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11">
        <f t="shared" si="6"/>
        <v>0</v>
      </c>
      <c r="AY148" s="42" t="s">
        <v>11</v>
      </c>
      <c r="AZ148" s="11"/>
    </row>
    <row r="149" spans="1:52" s="2" customFormat="1" hidden="1" x14ac:dyDescent="0.2">
      <c r="A149" s="3" t="s">
        <v>106</v>
      </c>
      <c r="B149" s="4" t="s">
        <v>167</v>
      </c>
      <c r="C149" s="4" t="s">
        <v>168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6"/>
      <c r="W149" s="6"/>
      <c r="X149" s="6"/>
      <c r="Y149" s="6"/>
      <c r="Z149" s="6"/>
      <c r="AA149" s="6"/>
      <c r="AB149" s="6"/>
      <c r="AC149" s="6"/>
      <c r="AD149" s="6"/>
      <c r="AE149" s="5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11">
        <f t="shared" si="6"/>
        <v>0</v>
      </c>
      <c r="AY149" s="42" t="s">
        <v>11</v>
      </c>
      <c r="AZ149" s="11"/>
    </row>
    <row r="150" spans="1:52" s="2" customFormat="1" hidden="1" x14ac:dyDescent="0.2">
      <c r="A150" s="3" t="s">
        <v>107</v>
      </c>
      <c r="B150" s="4" t="s">
        <v>167</v>
      </c>
      <c r="C150" s="4" t="s">
        <v>169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7"/>
      <c r="V150" s="6"/>
      <c r="W150" s="6"/>
      <c r="X150" s="6"/>
      <c r="Y150" s="6"/>
      <c r="Z150" s="6"/>
      <c r="AA150" s="6"/>
      <c r="AB150" s="6"/>
      <c r="AC150" s="6"/>
      <c r="AD150" s="6"/>
      <c r="AE150" s="5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11">
        <f t="shared" si="6"/>
        <v>0</v>
      </c>
      <c r="AY150" s="42" t="s">
        <v>11</v>
      </c>
      <c r="AZ150" s="11"/>
    </row>
    <row r="151" spans="1:52" s="2" customFormat="1" hidden="1" x14ac:dyDescent="0.2">
      <c r="A151" s="3" t="s">
        <v>110</v>
      </c>
      <c r="B151" s="4" t="s">
        <v>167</v>
      </c>
      <c r="C151" s="4" t="s">
        <v>170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6"/>
      <c r="W151" s="6"/>
      <c r="X151" s="6"/>
      <c r="Y151" s="6"/>
      <c r="Z151" s="6"/>
      <c r="AA151" s="6"/>
      <c r="AB151" s="6"/>
      <c r="AC151" s="6"/>
      <c r="AD151" s="6"/>
      <c r="AE151" s="5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11">
        <f t="shared" si="6"/>
        <v>0</v>
      </c>
      <c r="AY151" s="42" t="s">
        <v>11</v>
      </c>
      <c r="AZ151" s="11"/>
    </row>
    <row r="152" spans="1:52" s="2" customFormat="1" x14ac:dyDescent="0.2">
      <c r="A152" s="3" t="s">
        <v>104</v>
      </c>
      <c r="B152" s="4" t="s">
        <v>167</v>
      </c>
      <c r="C152" s="4" t="s">
        <v>174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7"/>
      <c r="V152" s="6"/>
      <c r="W152" s="6"/>
      <c r="X152" s="6"/>
      <c r="Y152" s="6"/>
      <c r="Z152" s="6"/>
      <c r="AA152" s="6"/>
      <c r="AB152" s="6"/>
      <c r="AC152" s="6"/>
      <c r="AD152" s="6"/>
      <c r="AE152" s="5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>
        <v>20</v>
      </c>
      <c r="AQ152" s="6"/>
      <c r="AR152" s="6"/>
      <c r="AS152" s="6"/>
      <c r="AT152" s="6"/>
      <c r="AU152" s="6"/>
      <c r="AV152" s="6">
        <v>20</v>
      </c>
      <c r="AW152" s="6"/>
      <c r="AX152" s="11">
        <f t="shared" si="6"/>
        <v>40</v>
      </c>
      <c r="AY152" s="42" t="s">
        <v>11</v>
      </c>
      <c r="AZ152" s="11"/>
    </row>
    <row r="153" spans="1:52" s="2" customFormat="1" x14ac:dyDescent="0.2">
      <c r="A153" s="3" t="s">
        <v>106</v>
      </c>
      <c r="B153" s="4" t="s">
        <v>167</v>
      </c>
      <c r="C153" s="4" t="s">
        <v>176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6"/>
      <c r="W153" s="6"/>
      <c r="X153" s="6"/>
      <c r="Y153" s="6"/>
      <c r="Z153" s="6"/>
      <c r="AA153" s="6"/>
      <c r="AB153" s="6"/>
      <c r="AC153" s="6"/>
      <c r="AD153" s="6"/>
      <c r="AE153" s="5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>
        <v>5</v>
      </c>
      <c r="AQ153" s="6"/>
      <c r="AR153" s="6"/>
      <c r="AS153" s="6"/>
      <c r="AT153" s="6"/>
      <c r="AU153" s="6"/>
      <c r="AV153" s="6"/>
      <c r="AW153" s="6"/>
      <c r="AX153" s="11">
        <f t="shared" si="6"/>
        <v>5</v>
      </c>
      <c r="AY153" s="42" t="s">
        <v>11</v>
      </c>
      <c r="AZ153" s="11"/>
    </row>
    <row r="154" spans="1:52" s="2" customFormat="1" x14ac:dyDescent="0.2">
      <c r="A154" s="3" t="s">
        <v>107</v>
      </c>
      <c r="B154" s="4" t="s">
        <v>167</v>
      </c>
      <c r="C154" s="4" t="s">
        <v>178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7"/>
      <c r="V154" s="6"/>
      <c r="W154" s="6"/>
      <c r="X154" s="6"/>
      <c r="Y154" s="6"/>
      <c r="Z154" s="6"/>
      <c r="AA154" s="6"/>
      <c r="AB154" s="6"/>
      <c r="AC154" s="6"/>
      <c r="AD154" s="6"/>
      <c r="AE154" s="5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>
        <v>5</v>
      </c>
      <c r="AQ154" s="6"/>
      <c r="AR154" s="6"/>
      <c r="AS154" s="6"/>
      <c r="AT154" s="6"/>
      <c r="AU154" s="6"/>
      <c r="AV154" s="6"/>
      <c r="AW154" s="6"/>
      <c r="AX154" s="11">
        <f t="shared" si="6"/>
        <v>5</v>
      </c>
      <c r="AY154" s="42" t="s">
        <v>11</v>
      </c>
      <c r="AZ154" s="11"/>
    </row>
    <row r="155" spans="1:52" s="2" customFormat="1" x14ac:dyDescent="0.2">
      <c r="A155" s="3" t="s">
        <v>110</v>
      </c>
      <c r="B155" s="4" t="s">
        <v>167</v>
      </c>
      <c r="C155" s="4" t="s">
        <v>181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7"/>
      <c r="V155" s="6"/>
      <c r="W155" s="6"/>
      <c r="X155" s="6"/>
      <c r="Y155" s="6"/>
      <c r="Z155" s="6"/>
      <c r="AA155" s="6"/>
      <c r="AB155" s="6"/>
      <c r="AC155" s="6"/>
      <c r="AD155" s="6"/>
      <c r="AE155" s="5"/>
      <c r="AF155" s="6"/>
      <c r="AG155" s="6"/>
      <c r="AH155" s="6"/>
      <c r="AI155" s="6">
        <v>5</v>
      </c>
      <c r="AJ155" s="6">
        <v>5</v>
      </c>
      <c r="AK155" s="6">
        <v>5</v>
      </c>
      <c r="AL155" s="6">
        <v>5</v>
      </c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11">
        <f t="shared" ref="AX155:AX212" si="7">SUM(D155:AW155)</f>
        <v>20</v>
      </c>
      <c r="AY155" s="42" t="s">
        <v>11</v>
      </c>
      <c r="AZ155" s="11"/>
    </row>
    <row r="156" spans="1:52" s="2" customFormat="1" x14ac:dyDescent="0.2">
      <c r="A156" s="3" t="s">
        <v>112</v>
      </c>
      <c r="B156" s="4" t="s">
        <v>183</v>
      </c>
      <c r="C156" s="4" t="s">
        <v>184</v>
      </c>
      <c r="D156" s="6">
        <v>2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7"/>
      <c r="V156" s="6"/>
      <c r="W156" s="6"/>
      <c r="X156" s="6"/>
      <c r="Y156" s="6"/>
      <c r="Z156" s="6"/>
      <c r="AA156" s="6"/>
      <c r="AB156" s="6"/>
      <c r="AC156" s="6"/>
      <c r="AD156" s="6"/>
      <c r="AE156" s="5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11">
        <f t="shared" si="7"/>
        <v>2</v>
      </c>
      <c r="AY156" s="42" t="s">
        <v>11</v>
      </c>
      <c r="AZ156" s="11"/>
    </row>
    <row r="157" spans="1:52" s="4" customFormat="1" hidden="1" x14ac:dyDescent="0.2">
      <c r="A157" s="3" t="s">
        <v>115</v>
      </c>
      <c r="B157" s="4" t="str">
        <f>"RAKTÁRI KÉSZLETNYILVÁNTARTÓ"</f>
        <v>RAKTÁRI KÉSZLETNYILVÁNTARTÓ</v>
      </c>
      <c r="C157" s="4" t="str">
        <f>"B.12-152"</f>
        <v>B.12-152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7"/>
      <c r="V157" s="6"/>
      <c r="W157" s="6"/>
      <c r="X157" s="6"/>
      <c r="Y157" s="6"/>
      <c r="Z157" s="6"/>
      <c r="AA157" s="6"/>
      <c r="AB157" s="6"/>
      <c r="AC157" s="6"/>
      <c r="AD157" s="6"/>
      <c r="AE157" s="5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11">
        <f t="shared" si="7"/>
        <v>0</v>
      </c>
      <c r="AY157" s="41"/>
      <c r="AZ157" s="6"/>
    </row>
    <row r="158" spans="1:52" s="4" customFormat="1" hidden="1" x14ac:dyDescent="0.2">
      <c r="A158" s="3" t="s">
        <v>117</v>
      </c>
      <c r="B158" s="4" t="s">
        <v>188</v>
      </c>
      <c r="C158" s="4" t="s">
        <v>189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7"/>
      <c r="V158" s="6"/>
      <c r="W158" s="6"/>
      <c r="X158" s="6"/>
      <c r="Y158" s="6"/>
      <c r="Z158" s="6"/>
      <c r="AA158" s="6"/>
      <c r="AB158" s="6"/>
      <c r="AC158" s="6"/>
      <c r="AD158" s="6"/>
      <c r="AE158" s="5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11">
        <f t="shared" si="7"/>
        <v>0</v>
      </c>
      <c r="AY158" s="42" t="s">
        <v>11</v>
      </c>
      <c r="AZ158" s="6"/>
    </row>
    <row r="159" spans="1:52" s="4" customFormat="1" hidden="1" x14ac:dyDescent="0.2">
      <c r="A159" s="3" t="s">
        <v>119</v>
      </c>
      <c r="B159" s="4" t="s">
        <v>190</v>
      </c>
      <c r="C159" s="4" t="str">
        <f>"PENTEL"</f>
        <v>PENTEL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7"/>
      <c r="V159" s="6"/>
      <c r="W159" s="6"/>
      <c r="X159" s="6"/>
      <c r="Y159" s="6"/>
      <c r="Z159" s="6"/>
      <c r="AA159" s="6"/>
      <c r="AB159" s="6"/>
      <c r="AC159" s="6"/>
      <c r="AD159" s="6"/>
      <c r="AE159" s="5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11">
        <f t="shared" si="7"/>
        <v>0</v>
      </c>
      <c r="AY159" s="42" t="s">
        <v>11</v>
      </c>
      <c r="AZ159" s="6"/>
    </row>
    <row r="160" spans="1:52" s="4" customFormat="1" hidden="1" x14ac:dyDescent="0.2">
      <c r="A160" s="3" t="s">
        <v>120</v>
      </c>
      <c r="B160" s="4" t="s">
        <v>190</v>
      </c>
      <c r="C160" s="4" t="str">
        <f>"ULTRA FINE 3"</f>
        <v>ULTRA FINE 3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7"/>
      <c r="V160" s="6"/>
      <c r="W160" s="6"/>
      <c r="X160" s="6"/>
      <c r="Y160" s="6"/>
      <c r="Z160" s="6"/>
      <c r="AA160" s="6"/>
      <c r="AB160" s="6"/>
      <c r="AC160" s="6"/>
      <c r="AD160" s="6"/>
      <c r="AE160" s="5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11">
        <f t="shared" si="7"/>
        <v>0</v>
      </c>
      <c r="AY160" s="42" t="s">
        <v>11</v>
      </c>
      <c r="AZ160" s="6"/>
    </row>
    <row r="161" spans="1:52" s="2" customFormat="1" hidden="1" x14ac:dyDescent="0.2">
      <c r="A161" s="3" t="s">
        <v>122</v>
      </c>
      <c r="B161" s="4" t="s">
        <v>190</v>
      </c>
      <c r="C161" s="4" t="str">
        <f>"18X25 MM"</f>
        <v>18X25 MM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6"/>
      <c r="W161" s="6"/>
      <c r="X161" s="6"/>
      <c r="Y161" s="6"/>
      <c r="Z161" s="6"/>
      <c r="AA161" s="6"/>
      <c r="AB161" s="6"/>
      <c r="AC161" s="6"/>
      <c r="AD161" s="6"/>
      <c r="AE161" s="5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11">
        <f t="shared" si="7"/>
        <v>0</v>
      </c>
      <c r="AY161" s="42" t="s">
        <v>11</v>
      </c>
      <c r="AZ161" s="11"/>
    </row>
    <row r="162" spans="1:52" s="2" customFormat="1" hidden="1" x14ac:dyDescent="0.2">
      <c r="A162" s="3" t="s">
        <v>123</v>
      </c>
      <c r="B162" s="4" t="s">
        <v>190</v>
      </c>
      <c r="C162" s="4" t="str">
        <f>"20X32 MM"</f>
        <v>20X32 MM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  <c r="V162" s="6"/>
      <c r="W162" s="6"/>
      <c r="X162" s="6"/>
      <c r="Y162" s="6"/>
      <c r="Z162" s="6"/>
      <c r="AA162" s="6"/>
      <c r="AB162" s="6"/>
      <c r="AC162" s="6"/>
      <c r="AD162" s="6"/>
      <c r="AE162" s="5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11">
        <f t="shared" si="7"/>
        <v>0</v>
      </c>
      <c r="AY162" s="42" t="s">
        <v>11</v>
      </c>
      <c r="AZ162" s="11"/>
    </row>
    <row r="163" spans="1:52" s="4" customFormat="1" hidden="1" x14ac:dyDescent="0.2">
      <c r="A163" s="3" t="s">
        <v>124</v>
      </c>
      <c r="B163" s="4" t="s">
        <v>190</v>
      </c>
      <c r="C163" s="4" t="str">
        <f>"PÁTRIA"</f>
        <v>PÁTRIA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7"/>
      <c r="V163" s="6"/>
      <c r="W163" s="6"/>
      <c r="X163" s="6"/>
      <c r="Y163" s="6"/>
      <c r="Z163" s="6"/>
      <c r="AA163" s="6"/>
      <c r="AB163" s="6"/>
      <c r="AC163" s="6"/>
      <c r="AD163" s="6"/>
      <c r="AE163" s="5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11">
        <f t="shared" si="7"/>
        <v>0</v>
      </c>
      <c r="AY163" s="42" t="s">
        <v>11</v>
      </c>
      <c r="AZ163" s="6"/>
    </row>
    <row r="164" spans="1:52" s="2" customFormat="1" hidden="1" x14ac:dyDescent="0.2">
      <c r="A164" s="3" t="s">
        <v>126</v>
      </c>
      <c r="B164" s="4" t="s">
        <v>190</v>
      </c>
      <c r="C164" s="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7"/>
      <c r="V164" s="6"/>
      <c r="W164" s="6"/>
      <c r="X164" s="6"/>
      <c r="Y164" s="6"/>
      <c r="Z164" s="6"/>
      <c r="AA164" s="6"/>
      <c r="AB164" s="6"/>
      <c r="AC164" s="6"/>
      <c r="AD164" s="6"/>
      <c r="AE164" s="5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11">
        <f t="shared" si="7"/>
        <v>0</v>
      </c>
      <c r="AY164" s="42" t="s">
        <v>11</v>
      </c>
      <c r="AZ164" s="11"/>
    </row>
    <row r="165" spans="1:52" s="2" customFormat="1" x14ac:dyDescent="0.2">
      <c r="A165" s="3" t="s">
        <v>115</v>
      </c>
      <c r="B165" s="2" t="s">
        <v>192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7"/>
      <c r="V165" s="6"/>
      <c r="W165" s="6"/>
      <c r="X165" s="6"/>
      <c r="Y165" s="6"/>
      <c r="Z165" s="6"/>
      <c r="AA165" s="6"/>
      <c r="AB165" s="6"/>
      <c r="AC165" s="6"/>
      <c r="AD165" s="6"/>
      <c r="AE165" s="5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>
        <v>2</v>
      </c>
      <c r="AW165" s="6"/>
      <c r="AX165" s="11">
        <f t="shared" si="7"/>
        <v>2</v>
      </c>
      <c r="AY165" s="42" t="s">
        <v>79</v>
      </c>
      <c r="AZ165" s="11"/>
    </row>
    <row r="166" spans="1:52" s="2" customFormat="1" x14ac:dyDescent="0.2">
      <c r="A166" s="3" t="s">
        <v>117</v>
      </c>
      <c r="B166" s="4" t="s">
        <v>194</v>
      </c>
      <c r="C166" s="4" t="s">
        <v>195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>
        <v>1</v>
      </c>
      <c r="R166" s="6"/>
      <c r="S166" s="6"/>
      <c r="T166" s="6"/>
      <c r="U166" s="7"/>
      <c r="V166" s="6"/>
      <c r="W166" s="6"/>
      <c r="X166" s="6"/>
      <c r="Y166" s="6"/>
      <c r="Z166" s="6"/>
      <c r="AA166" s="6"/>
      <c r="AB166" s="6"/>
      <c r="AC166" s="6"/>
      <c r="AD166" s="6"/>
      <c r="AE166" s="5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>
        <v>3</v>
      </c>
      <c r="AR166" s="6"/>
      <c r="AS166" s="6"/>
      <c r="AT166" s="6"/>
      <c r="AU166" s="6"/>
      <c r="AV166" s="6">
        <v>1</v>
      </c>
      <c r="AW166" s="6"/>
      <c r="AX166" s="11">
        <f t="shared" si="7"/>
        <v>5</v>
      </c>
      <c r="AY166" s="42" t="s">
        <v>79</v>
      </c>
      <c r="AZ166" s="11"/>
    </row>
    <row r="167" spans="1:52" s="2" customFormat="1" x14ac:dyDescent="0.2">
      <c r="A167" s="3" t="s">
        <v>119</v>
      </c>
      <c r="B167" s="4" t="s">
        <v>197</v>
      </c>
      <c r="C167" s="4" t="s">
        <v>198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>
        <v>3</v>
      </c>
      <c r="S167" s="6"/>
      <c r="T167" s="6"/>
      <c r="U167" s="7"/>
      <c r="V167" s="6"/>
      <c r="W167" s="6"/>
      <c r="X167" s="6"/>
      <c r="Y167" s="6"/>
      <c r="Z167" s="6"/>
      <c r="AA167" s="6"/>
      <c r="AB167" s="6"/>
      <c r="AC167" s="6"/>
      <c r="AD167" s="6"/>
      <c r="AE167" s="5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>
        <v>2</v>
      </c>
      <c r="AQ167" s="6"/>
      <c r="AR167" s="6"/>
      <c r="AS167" s="6"/>
      <c r="AT167" s="6"/>
      <c r="AU167" s="6"/>
      <c r="AV167" s="6"/>
      <c r="AW167" s="6"/>
      <c r="AX167" s="11">
        <f t="shared" si="7"/>
        <v>5</v>
      </c>
      <c r="AY167" s="42" t="s">
        <v>11</v>
      </c>
      <c r="AZ167" s="11"/>
    </row>
    <row r="168" spans="1:52" s="2" customFormat="1" x14ac:dyDescent="0.2">
      <c r="A168" s="3" t="s">
        <v>120</v>
      </c>
      <c r="B168" s="4" t="s">
        <v>200</v>
      </c>
      <c r="C168" s="4" t="s">
        <v>201</v>
      </c>
      <c r="D168" s="6">
        <v>1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>
        <v>2</v>
      </c>
      <c r="S168" s="6"/>
      <c r="T168" s="6"/>
      <c r="U168" s="7"/>
      <c r="V168" s="6"/>
      <c r="W168" s="6"/>
      <c r="X168" s="6"/>
      <c r="Y168" s="6"/>
      <c r="Z168" s="6"/>
      <c r="AA168" s="6"/>
      <c r="AB168" s="6"/>
      <c r="AC168" s="6"/>
      <c r="AD168" s="6"/>
      <c r="AE168" s="5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11">
        <f t="shared" si="7"/>
        <v>3</v>
      </c>
      <c r="AY168" s="42" t="s">
        <v>11</v>
      </c>
      <c r="AZ168" s="11"/>
    </row>
    <row r="169" spans="1:52" s="2" customFormat="1" x14ac:dyDescent="0.2">
      <c r="A169" s="3" t="s">
        <v>122</v>
      </c>
      <c r="B169" s="4" t="s">
        <v>203</v>
      </c>
      <c r="C169" s="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7"/>
      <c r="V169" s="6"/>
      <c r="W169" s="6"/>
      <c r="X169" s="6"/>
      <c r="Y169" s="6"/>
      <c r="Z169" s="6"/>
      <c r="AA169" s="6"/>
      <c r="AB169" s="6"/>
      <c r="AC169" s="6"/>
      <c r="AD169" s="6"/>
      <c r="AE169" s="5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>
        <v>1</v>
      </c>
      <c r="AW169" s="6"/>
      <c r="AX169" s="11">
        <f t="shared" si="7"/>
        <v>1</v>
      </c>
      <c r="AY169" s="42" t="s">
        <v>11</v>
      </c>
      <c r="AZ169" s="11"/>
    </row>
    <row r="170" spans="1:52" s="2" customFormat="1" x14ac:dyDescent="0.2">
      <c r="A170" s="3" t="s">
        <v>123</v>
      </c>
      <c r="B170" s="4" t="s">
        <v>190</v>
      </c>
      <c r="C170" s="4" t="s">
        <v>205</v>
      </c>
      <c r="D170" s="6">
        <v>2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7"/>
      <c r="V170" s="6"/>
      <c r="W170" s="6"/>
      <c r="X170" s="6"/>
      <c r="Y170" s="6"/>
      <c r="Z170" s="6"/>
      <c r="AA170" s="6"/>
      <c r="AB170" s="6"/>
      <c r="AC170" s="6"/>
      <c r="AD170" s="6"/>
      <c r="AE170" s="5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>
        <v>1</v>
      </c>
      <c r="AV170" s="6"/>
      <c r="AW170" s="6"/>
      <c r="AX170" s="11">
        <f t="shared" si="7"/>
        <v>3</v>
      </c>
      <c r="AY170" s="42" t="s">
        <v>11</v>
      </c>
      <c r="AZ170" s="11"/>
    </row>
    <row r="171" spans="1:52" s="2" customFormat="1" x14ac:dyDescent="0.2">
      <c r="A171" s="3" t="s">
        <v>124</v>
      </c>
      <c r="B171" s="4" t="s">
        <v>190</v>
      </c>
      <c r="C171" s="4" t="s">
        <v>207</v>
      </c>
      <c r="D171" s="6">
        <v>2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7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>
        <v>1</v>
      </c>
      <c r="AV171" s="6"/>
      <c r="AW171" s="6"/>
      <c r="AX171" s="11">
        <f t="shared" si="7"/>
        <v>3</v>
      </c>
      <c r="AY171" s="42" t="s">
        <v>11</v>
      </c>
      <c r="AZ171" s="11"/>
    </row>
    <row r="172" spans="1:52" s="4" customFormat="1" hidden="1" x14ac:dyDescent="0.2">
      <c r="A172" s="3" t="s">
        <v>126</v>
      </c>
      <c r="B172" s="2" t="s">
        <v>208</v>
      </c>
      <c r="C172" s="2" t="s">
        <v>209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7"/>
      <c r="V172" s="6"/>
      <c r="W172" s="6"/>
      <c r="X172" s="6"/>
      <c r="Y172" s="6"/>
      <c r="Z172" s="6"/>
      <c r="AA172" s="6"/>
      <c r="AB172" s="6"/>
      <c r="AC172" s="6"/>
      <c r="AD172" s="6"/>
      <c r="AE172" s="5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11">
        <f t="shared" si="7"/>
        <v>0</v>
      </c>
      <c r="AY172" s="42" t="s">
        <v>11</v>
      </c>
      <c r="AZ172" s="6"/>
    </row>
    <row r="173" spans="1:52" s="4" customFormat="1" hidden="1" x14ac:dyDescent="0.2">
      <c r="A173" s="3" t="s">
        <v>128</v>
      </c>
      <c r="B173" s="2" t="s">
        <v>208</v>
      </c>
      <c r="C173" s="2" t="s">
        <v>209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7"/>
      <c r="V173" s="6"/>
      <c r="W173" s="6"/>
      <c r="X173" s="6"/>
      <c r="Y173" s="6"/>
      <c r="Z173" s="6"/>
      <c r="AA173" s="6"/>
      <c r="AB173" s="6"/>
      <c r="AC173" s="6"/>
      <c r="AD173" s="6"/>
      <c r="AE173" s="5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11">
        <f t="shared" si="7"/>
        <v>0</v>
      </c>
      <c r="AY173" s="42" t="s">
        <v>11</v>
      </c>
      <c r="AZ173" s="6"/>
    </row>
    <row r="174" spans="1:52" s="4" customFormat="1" hidden="1" x14ac:dyDescent="0.2">
      <c r="A174" s="3" t="s">
        <v>129</v>
      </c>
      <c r="B174" s="2" t="s">
        <v>208</v>
      </c>
      <c r="C174" s="2" t="s">
        <v>209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7"/>
      <c r="V174" s="6"/>
      <c r="W174" s="6"/>
      <c r="X174" s="6"/>
      <c r="Y174" s="6"/>
      <c r="Z174" s="6"/>
      <c r="AA174" s="6"/>
      <c r="AB174" s="6"/>
      <c r="AC174" s="6"/>
      <c r="AD174" s="6"/>
      <c r="AE174" s="5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11">
        <f t="shared" si="7"/>
        <v>0</v>
      </c>
      <c r="AY174" s="42" t="s">
        <v>11</v>
      </c>
      <c r="AZ174" s="6"/>
    </row>
    <row r="175" spans="1:52" s="2" customFormat="1" hidden="1" x14ac:dyDescent="0.2">
      <c r="A175" s="3" t="s">
        <v>132</v>
      </c>
      <c r="B175" s="2" t="s">
        <v>208</v>
      </c>
      <c r="C175" s="2" t="s">
        <v>209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7"/>
      <c r="V175" s="6"/>
      <c r="W175" s="6"/>
      <c r="X175" s="6"/>
      <c r="Y175" s="6"/>
      <c r="Z175" s="6"/>
      <c r="AA175" s="6"/>
      <c r="AB175" s="6"/>
      <c r="AC175" s="6"/>
      <c r="AD175" s="6"/>
      <c r="AE175" s="5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11">
        <f t="shared" si="7"/>
        <v>0</v>
      </c>
      <c r="AY175" s="42" t="s">
        <v>11</v>
      </c>
      <c r="AZ175" s="11"/>
    </row>
    <row r="176" spans="1:52" s="2" customFormat="1" x14ac:dyDescent="0.2">
      <c r="A176" s="3" t="s">
        <v>126</v>
      </c>
      <c r="B176" s="2" t="s">
        <v>211</v>
      </c>
      <c r="C176" s="2" t="s">
        <v>212</v>
      </c>
      <c r="D176" s="5"/>
      <c r="F176" s="25"/>
      <c r="G176" s="5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7"/>
      <c r="V176" s="6"/>
      <c r="W176" s="6"/>
      <c r="X176" s="6"/>
      <c r="Y176" s="6"/>
      <c r="Z176" s="6"/>
      <c r="AA176" s="6"/>
      <c r="AB176" s="6"/>
      <c r="AC176" s="6"/>
      <c r="AD176" s="6"/>
      <c r="AE176" s="5"/>
      <c r="AF176" s="6"/>
      <c r="AG176" s="6"/>
      <c r="AH176" s="6"/>
      <c r="AI176" s="6">
        <v>5</v>
      </c>
      <c r="AJ176" s="5"/>
      <c r="AK176" s="6"/>
      <c r="AL176" s="6"/>
      <c r="AM176" s="6"/>
      <c r="AN176" s="6"/>
      <c r="AO176" s="6"/>
      <c r="AP176" s="6">
        <v>2</v>
      </c>
      <c r="AQ176" s="6"/>
      <c r="AR176" s="6"/>
      <c r="AS176" s="6"/>
      <c r="AT176" s="6"/>
      <c r="AU176" s="6"/>
      <c r="AV176" s="6">
        <v>5</v>
      </c>
      <c r="AW176" s="6"/>
      <c r="AX176" s="11">
        <f t="shared" si="7"/>
        <v>12</v>
      </c>
      <c r="AY176" s="42" t="s">
        <v>11</v>
      </c>
      <c r="AZ176" s="11"/>
    </row>
    <row r="177" spans="1:52" s="2" customFormat="1" x14ac:dyDescent="0.2">
      <c r="A177" s="3" t="s">
        <v>128</v>
      </c>
      <c r="B177" s="2" t="s">
        <v>211</v>
      </c>
      <c r="C177" s="2" t="s">
        <v>214</v>
      </c>
      <c r="D177" s="6"/>
      <c r="F177" s="2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>
        <v>5</v>
      </c>
      <c r="S177" s="6"/>
      <c r="T177" s="6"/>
      <c r="U177" s="7"/>
      <c r="V177" s="6"/>
      <c r="W177" s="6"/>
      <c r="X177" s="6"/>
      <c r="Y177" s="6"/>
      <c r="Z177" s="6"/>
      <c r="AA177" s="6"/>
      <c r="AB177" s="6"/>
      <c r="AC177" s="6"/>
      <c r="AD177" s="6"/>
      <c r="AE177" s="5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11">
        <f t="shared" si="7"/>
        <v>5</v>
      </c>
      <c r="AY177" s="42" t="s">
        <v>11</v>
      </c>
      <c r="AZ177" s="11"/>
    </row>
    <row r="178" spans="1:52" s="2" customFormat="1" x14ac:dyDescent="0.2">
      <c r="A178" s="3" t="s">
        <v>129</v>
      </c>
      <c r="B178" s="2" t="s">
        <v>211</v>
      </c>
      <c r="C178" s="2" t="s">
        <v>216</v>
      </c>
      <c r="D178" s="6"/>
      <c r="F178" s="6">
        <v>5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7"/>
      <c r="V178" s="6"/>
      <c r="W178" s="6"/>
      <c r="X178" s="6"/>
      <c r="Y178" s="6"/>
      <c r="Z178" s="6"/>
      <c r="AA178" s="6"/>
      <c r="AB178" s="6"/>
      <c r="AC178" s="6"/>
      <c r="AD178" s="6"/>
      <c r="AE178" s="5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11">
        <f t="shared" si="7"/>
        <v>5</v>
      </c>
      <c r="AY178" s="42" t="s">
        <v>11</v>
      </c>
      <c r="AZ178" s="11"/>
    </row>
    <row r="179" spans="1:52" s="4" customFormat="1" x14ac:dyDescent="0.2">
      <c r="A179" s="3" t="s">
        <v>132</v>
      </c>
      <c r="B179" s="2" t="s">
        <v>218</v>
      </c>
      <c r="C179" s="2" t="s">
        <v>219</v>
      </c>
      <c r="D179" s="6">
        <v>3</v>
      </c>
      <c r="F179" s="6">
        <v>3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>
        <v>1</v>
      </c>
      <c r="R179" s="6"/>
      <c r="S179" s="6"/>
      <c r="T179" s="6"/>
      <c r="U179" s="7"/>
      <c r="V179" s="6"/>
      <c r="W179" s="6"/>
      <c r="X179" s="6"/>
      <c r="Y179" s="6"/>
      <c r="Z179" s="6"/>
      <c r="AA179" s="6"/>
      <c r="AB179" s="6"/>
      <c r="AC179" s="6"/>
      <c r="AD179" s="6"/>
      <c r="AE179" s="5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>
        <v>1</v>
      </c>
      <c r="AW179" s="6"/>
      <c r="AX179" s="11">
        <f t="shared" si="7"/>
        <v>8</v>
      </c>
      <c r="AY179" s="42" t="s">
        <v>11</v>
      </c>
      <c r="AZ179" s="6"/>
    </row>
    <row r="180" spans="1:52" s="2" customFormat="1" hidden="1" x14ac:dyDescent="0.2">
      <c r="A180" s="3" t="s">
        <v>135</v>
      </c>
      <c r="B180" s="4" t="str">
        <f>"TÁBLATŰ"</f>
        <v>TÁBLATŰ</v>
      </c>
      <c r="C180" s="4"/>
      <c r="D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7"/>
      <c r="V180" s="6"/>
      <c r="W180" s="6"/>
      <c r="X180" s="6"/>
      <c r="Y180" s="6"/>
      <c r="Z180" s="6"/>
      <c r="AA180" s="6"/>
      <c r="AB180" s="6"/>
      <c r="AC180" s="6"/>
      <c r="AD180" s="6"/>
      <c r="AE180" s="5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11">
        <f t="shared" si="7"/>
        <v>0</v>
      </c>
      <c r="AY180" s="42"/>
      <c r="AZ180" s="11"/>
    </row>
    <row r="181" spans="1:52" s="2" customFormat="1" hidden="1" x14ac:dyDescent="0.2">
      <c r="A181" s="3" t="s">
        <v>138</v>
      </c>
      <c r="B181" s="4" t="str">
        <f>"TASAK"</f>
        <v>TASAK</v>
      </c>
      <c r="C181" s="4"/>
      <c r="D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7"/>
      <c r="V181" s="6"/>
      <c r="W181" s="6"/>
      <c r="X181" s="6"/>
      <c r="Y181" s="6"/>
      <c r="Z181" s="6"/>
      <c r="AA181" s="6"/>
      <c r="AB181" s="6"/>
      <c r="AC181" s="6"/>
      <c r="AD181" s="6"/>
      <c r="AE181" s="5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11">
        <f t="shared" si="7"/>
        <v>0</v>
      </c>
      <c r="AY181" s="42"/>
      <c r="AZ181" s="11"/>
    </row>
    <row r="182" spans="1:52" s="2" customFormat="1" hidden="1" x14ac:dyDescent="0.2">
      <c r="A182" s="3" t="s">
        <v>139</v>
      </c>
      <c r="B182" s="4" t="str">
        <f>"TASAK (CIPZÁRAS)"</f>
        <v>TASAK (CIPZÁRAS)</v>
      </c>
      <c r="C182" s="4" t="str">
        <f>"A/4"</f>
        <v>A/4</v>
      </c>
      <c r="D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7"/>
      <c r="V182" s="6"/>
      <c r="W182" s="6"/>
      <c r="X182" s="6"/>
      <c r="Y182" s="6"/>
      <c r="Z182" s="6"/>
      <c r="AA182" s="6"/>
      <c r="AB182" s="6"/>
      <c r="AC182" s="6"/>
      <c r="AD182" s="6"/>
      <c r="AE182" s="5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11">
        <f t="shared" si="7"/>
        <v>0</v>
      </c>
      <c r="AY182" s="42"/>
      <c r="AZ182" s="11"/>
    </row>
    <row r="183" spans="1:52" s="2" customFormat="1" hidden="1" x14ac:dyDescent="0.2">
      <c r="A183" s="3" t="s">
        <v>142</v>
      </c>
      <c r="B183" s="4" t="str">
        <f>"TASAK (CIPZÁRAS)"</f>
        <v>TASAK (CIPZÁRAS)</v>
      </c>
      <c r="C183" s="4" t="str">
        <f>"A/5"</f>
        <v>A/5</v>
      </c>
      <c r="D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7"/>
      <c r="V183" s="6"/>
      <c r="W183" s="6"/>
      <c r="X183" s="6"/>
      <c r="Y183" s="6"/>
      <c r="Z183" s="6"/>
      <c r="AA183" s="6"/>
      <c r="AB183" s="6"/>
      <c r="AC183" s="6"/>
      <c r="AD183" s="6"/>
      <c r="AE183" s="5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11">
        <f t="shared" si="7"/>
        <v>0</v>
      </c>
      <c r="AY183" s="42"/>
      <c r="AZ183" s="11"/>
    </row>
    <row r="184" spans="1:52" s="4" customFormat="1" hidden="1" x14ac:dyDescent="0.2">
      <c r="A184" s="3" t="s">
        <v>145</v>
      </c>
      <c r="B184" s="4" t="str">
        <f>"TB NAPTÁR"</f>
        <v>TB NAPTÁR</v>
      </c>
      <c r="D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7"/>
      <c r="V184" s="6"/>
      <c r="W184" s="6"/>
      <c r="X184" s="6"/>
      <c r="Y184" s="6"/>
      <c r="Z184" s="6"/>
      <c r="AA184" s="6"/>
      <c r="AB184" s="6"/>
      <c r="AC184" s="6"/>
      <c r="AD184" s="6"/>
      <c r="AE184" s="5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11">
        <f t="shared" si="7"/>
        <v>0</v>
      </c>
      <c r="AY184" s="41"/>
      <c r="AZ184" s="6"/>
    </row>
    <row r="185" spans="1:52" s="2" customFormat="1" hidden="1" x14ac:dyDescent="0.2">
      <c r="A185" s="3" t="s">
        <v>146</v>
      </c>
      <c r="B185" s="4" t="str">
        <f>"TELEFONBLOKK"</f>
        <v>TELEFONBLOKK</v>
      </c>
      <c r="C185" s="4"/>
      <c r="D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7"/>
      <c r="V185" s="6"/>
      <c r="W185" s="6"/>
      <c r="X185" s="6"/>
      <c r="Y185" s="6"/>
      <c r="Z185" s="6"/>
      <c r="AA185" s="6"/>
      <c r="AB185" s="6"/>
      <c r="AC185" s="6"/>
      <c r="AD185" s="6"/>
      <c r="AE185" s="5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11">
        <f t="shared" si="7"/>
        <v>0</v>
      </c>
      <c r="AY185" s="42"/>
      <c r="AZ185" s="11"/>
    </row>
    <row r="186" spans="1:52" s="2" customFormat="1" hidden="1" x14ac:dyDescent="0.2">
      <c r="A186" s="3" t="s">
        <v>149</v>
      </c>
      <c r="B186" s="4" t="str">
        <f>"TÉPŐTÖMB (FEHÉR)"</f>
        <v>TÉPŐTÖMB (FEHÉR)</v>
      </c>
      <c r="C186" s="4" t="str">
        <f>"009X009 CM"</f>
        <v>009X009 CM</v>
      </c>
      <c r="D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7"/>
      <c r="V186" s="6"/>
      <c r="W186" s="6"/>
      <c r="X186" s="6"/>
      <c r="Y186" s="6"/>
      <c r="Z186" s="6"/>
      <c r="AA186" s="6"/>
      <c r="AB186" s="6"/>
      <c r="AC186" s="6"/>
      <c r="AD186" s="6"/>
      <c r="AE186" s="5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11">
        <f t="shared" si="7"/>
        <v>0</v>
      </c>
      <c r="AY186" s="42"/>
      <c r="AZ186" s="11"/>
    </row>
    <row r="187" spans="1:52" s="2" customFormat="1" x14ac:dyDescent="0.2">
      <c r="A187" s="3" t="s">
        <v>135</v>
      </c>
      <c r="B187" s="4" t="str">
        <f>"RADÍR"</f>
        <v>RADÍR</v>
      </c>
      <c r="C187" s="4" t="str">
        <f>"TIKKY 20"</f>
        <v>TIKKY 20</v>
      </c>
      <c r="D187" s="6">
        <v>1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7"/>
      <c r="V187" s="6"/>
      <c r="W187" s="6"/>
      <c r="X187" s="6"/>
      <c r="Y187" s="6"/>
      <c r="Z187" s="6"/>
      <c r="AA187" s="6"/>
      <c r="AB187" s="6"/>
      <c r="AC187" s="6"/>
      <c r="AD187" s="6"/>
      <c r="AE187" s="5"/>
      <c r="AF187" s="6"/>
      <c r="AG187" s="6"/>
      <c r="AH187" s="6"/>
      <c r="AI187" s="6">
        <v>2</v>
      </c>
      <c r="AJ187" s="6">
        <v>2</v>
      </c>
      <c r="AK187" s="6">
        <v>2</v>
      </c>
      <c r="AL187" s="6">
        <v>2</v>
      </c>
      <c r="AM187" s="6"/>
      <c r="AN187" s="6"/>
      <c r="AO187" s="6"/>
      <c r="AP187" s="6">
        <v>2</v>
      </c>
      <c r="AQ187" s="6"/>
      <c r="AR187" s="6"/>
      <c r="AS187" s="6"/>
      <c r="AT187" s="6"/>
      <c r="AU187" s="6"/>
      <c r="AV187" s="6"/>
      <c r="AW187" s="6"/>
      <c r="AX187" s="11">
        <f t="shared" si="7"/>
        <v>11</v>
      </c>
      <c r="AY187" s="42" t="s">
        <v>11</v>
      </c>
      <c r="AZ187" s="11"/>
    </row>
    <row r="188" spans="1:52" s="2" customFormat="1" x14ac:dyDescent="0.2">
      <c r="A188" s="3" t="s">
        <v>138</v>
      </c>
      <c r="B188" s="4" t="s">
        <v>221</v>
      </c>
      <c r="C188" s="4"/>
      <c r="D188" s="6">
        <v>5</v>
      </c>
      <c r="F188" s="6">
        <v>10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>
        <v>1</v>
      </c>
      <c r="R188" s="6"/>
      <c r="S188" s="6"/>
      <c r="T188" s="6"/>
      <c r="U188" s="7"/>
      <c r="V188" s="6"/>
      <c r="W188" s="6"/>
      <c r="X188" s="6"/>
      <c r="Y188" s="6"/>
      <c r="Z188" s="6"/>
      <c r="AA188" s="6"/>
      <c r="AB188" s="6"/>
      <c r="AC188" s="6"/>
      <c r="AD188" s="6"/>
      <c r="AE188" s="5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>
        <v>2</v>
      </c>
      <c r="AW188" s="6"/>
      <c r="AX188" s="11">
        <f t="shared" si="7"/>
        <v>18</v>
      </c>
      <c r="AY188" s="42" t="s">
        <v>11</v>
      </c>
      <c r="AZ188" s="11"/>
    </row>
    <row r="189" spans="1:52" s="2" customFormat="1" hidden="1" x14ac:dyDescent="0.2">
      <c r="A189" s="3" t="s">
        <v>139</v>
      </c>
      <c r="B189" s="4" t="s">
        <v>222</v>
      </c>
      <c r="C189" s="4" t="str">
        <f>"051X038 MM"</f>
        <v>051X038 MM</v>
      </c>
      <c r="D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7"/>
      <c r="V189" s="6"/>
      <c r="W189" s="6"/>
      <c r="X189" s="6"/>
      <c r="Y189" s="6"/>
      <c r="Z189" s="6"/>
      <c r="AA189" s="6"/>
      <c r="AB189" s="6"/>
      <c r="AC189" s="6"/>
      <c r="AD189" s="6"/>
      <c r="AE189" s="5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11">
        <f t="shared" si="7"/>
        <v>0</v>
      </c>
      <c r="AY189" s="42" t="s">
        <v>11</v>
      </c>
      <c r="AZ189" s="11"/>
    </row>
    <row r="190" spans="1:52" s="2" customFormat="1" hidden="1" x14ac:dyDescent="0.2">
      <c r="A190" s="3" t="s">
        <v>142</v>
      </c>
      <c r="B190" s="4" t="s">
        <v>223</v>
      </c>
      <c r="C190" s="4" t="str">
        <f>"127X075 MM"</f>
        <v>127X075 MM</v>
      </c>
      <c r="D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7"/>
      <c r="V190" s="6"/>
      <c r="W190" s="6"/>
      <c r="X190" s="6"/>
      <c r="Y190" s="6"/>
      <c r="Z190" s="6"/>
      <c r="AA190" s="6"/>
      <c r="AB190" s="6"/>
      <c r="AC190" s="6"/>
      <c r="AD190" s="6"/>
      <c r="AE190" s="5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11">
        <f t="shared" si="7"/>
        <v>0</v>
      </c>
      <c r="AY190" s="42" t="s">
        <v>11</v>
      </c>
      <c r="AZ190" s="11"/>
    </row>
    <row r="191" spans="1:52" s="2" customFormat="1" hidden="1" x14ac:dyDescent="0.2">
      <c r="A191" s="3" t="s">
        <v>145</v>
      </c>
      <c r="B191" s="4" t="str">
        <f>"TÉPŐTÖMB (SZÍNES-CSAVART)"</f>
        <v>TÉPŐTÖMB (SZÍNES-CSAVART)</v>
      </c>
      <c r="C191" s="4" t="str">
        <f>"010X010 MM"</f>
        <v>010X010 MM</v>
      </c>
      <c r="D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7"/>
      <c r="V191" s="6"/>
      <c r="W191" s="6"/>
      <c r="X191" s="6"/>
      <c r="Y191" s="6"/>
      <c r="Z191" s="6"/>
      <c r="AA191" s="6"/>
      <c r="AB191" s="6"/>
      <c r="AC191" s="6"/>
      <c r="AD191" s="6"/>
      <c r="AE191" s="5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11">
        <f t="shared" si="7"/>
        <v>0</v>
      </c>
      <c r="AY191" s="42" t="s">
        <v>11</v>
      </c>
      <c r="AZ191" s="11"/>
    </row>
    <row r="192" spans="1:52" s="2" customFormat="1" hidden="1" x14ac:dyDescent="0.2">
      <c r="A192" s="3" t="s">
        <v>146</v>
      </c>
      <c r="B192" s="4" t="str">
        <f>"TÉRKÉPTŰ"</f>
        <v>TÉRKÉPTŰ</v>
      </c>
      <c r="C192" s="4" t="str">
        <f>"SAKOTA"</f>
        <v>SAKOTA</v>
      </c>
      <c r="D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7"/>
      <c r="V192" s="6"/>
      <c r="W192" s="6"/>
      <c r="X192" s="6"/>
      <c r="Y192" s="6"/>
      <c r="Z192" s="6"/>
      <c r="AA192" s="6"/>
      <c r="AB192" s="6"/>
      <c r="AC192" s="6"/>
      <c r="AD192" s="6"/>
      <c r="AE192" s="5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11">
        <f t="shared" si="7"/>
        <v>0</v>
      </c>
      <c r="AY192" s="42" t="s">
        <v>11</v>
      </c>
      <c r="AZ192" s="11"/>
    </row>
    <row r="193" spans="1:52" s="4" customFormat="1" hidden="1" x14ac:dyDescent="0.2">
      <c r="A193" s="3" t="s">
        <v>149</v>
      </c>
      <c r="B193" s="4" t="str">
        <f>"TÖLTŐTOLL PATRON"</f>
        <v>TÖLTŐTOLL PATRON</v>
      </c>
      <c r="C193" s="4" t="str">
        <f>"PAX"</f>
        <v>PAX</v>
      </c>
      <c r="D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7"/>
      <c r="V193" s="6"/>
      <c r="W193" s="6"/>
      <c r="X193" s="6"/>
      <c r="Y193" s="6"/>
      <c r="Z193" s="6"/>
      <c r="AA193" s="6"/>
      <c r="AB193" s="6"/>
      <c r="AC193" s="6"/>
      <c r="AD193" s="6"/>
      <c r="AE193" s="5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11">
        <f t="shared" si="7"/>
        <v>0</v>
      </c>
      <c r="AY193" s="42" t="s">
        <v>11</v>
      </c>
      <c r="AZ193" s="6"/>
    </row>
    <row r="194" spans="1:52" s="4" customFormat="1" hidden="1" x14ac:dyDescent="0.2">
      <c r="A194" s="3" t="s">
        <v>151</v>
      </c>
      <c r="B194" s="4" t="str">
        <f>"TUSTINTA (ROTRING)"</f>
        <v>TUSTINTA (ROTRING)</v>
      </c>
      <c r="D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7"/>
      <c r="V194" s="6"/>
      <c r="W194" s="6"/>
      <c r="X194" s="6"/>
      <c r="Y194" s="6"/>
      <c r="Z194" s="6"/>
      <c r="AA194" s="6"/>
      <c r="AB194" s="6"/>
      <c r="AC194" s="6"/>
      <c r="AD194" s="6"/>
      <c r="AE194" s="5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11">
        <f t="shared" si="7"/>
        <v>0</v>
      </c>
      <c r="AY194" s="42" t="s">
        <v>11</v>
      </c>
      <c r="AZ194" s="6"/>
    </row>
    <row r="195" spans="1:52" s="2" customFormat="1" hidden="1" x14ac:dyDescent="0.2">
      <c r="A195" s="3" t="s">
        <v>154</v>
      </c>
      <c r="B195" s="4" t="s">
        <v>224</v>
      </c>
      <c r="C195" s="4" t="str">
        <f>"DELI NO. 0327"</f>
        <v>DELI NO. 0327</v>
      </c>
      <c r="D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7"/>
      <c r="V195" s="6"/>
      <c r="W195" s="6"/>
      <c r="X195" s="6"/>
      <c r="Y195" s="6"/>
      <c r="Z195" s="6"/>
      <c r="AA195" s="6"/>
      <c r="AB195" s="6"/>
      <c r="AC195" s="6"/>
      <c r="AD195" s="6"/>
      <c r="AE195" s="5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11">
        <f t="shared" si="7"/>
        <v>0</v>
      </c>
      <c r="AY195" s="42" t="s">
        <v>11</v>
      </c>
      <c r="AZ195" s="11"/>
    </row>
    <row r="196" spans="1:52" s="2" customFormat="1" x14ac:dyDescent="0.2">
      <c r="A196" s="3" t="s">
        <v>139</v>
      </c>
      <c r="B196" s="4" t="str">
        <f>"RAGASZTÓ STIFT"</f>
        <v>RAGASZTÓ STIFT</v>
      </c>
      <c r="C196" s="4" t="s">
        <v>225</v>
      </c>
      <c r="D196" s="6">
        <v>2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7"/>
      <c r="V196" s="6"/>
      <c r="W196" s="6"/>
      <c r="X196" s="6"/>
      <c r="Y196" s="6"/>
      <c r="Z196" s="6"/>
      <c r="AA196" s="6"/>
      <c r="AB196" s="6"/>
      <c r="AC196" s="6"/>
      <c r="AD196" s="6"/>
      <c r="AE196" s="5"/>
      <c r="AF196" s="6"/>
      <c r="AG196" s="6"/>
      <c r="AH196" s="6"/>
      <c r="AI196" s="6">
        <v>2</v>
      </c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11">
        <f t="shared" si="7"/>
        <v>4</v>
      </c>
      <c r="AY196" s="42" t="s">
        <v>11</v>
      </c>
      <c r="AZ196" s="11"/>
    </row>
    <row r="197" spans="1:52" s="2" customFormat="1" x14ac:dyDescent="0.2">
      <c r="A197" s="3" t="s">
        <v>142</v>
      </c>
      <c r="B197" s="4" t="str">
        <f>"RAGASZTÓ SZALAG (CELLUX)"</f>
        <v>RAGASZTÓ SZALAG (CELLUX)</v>
      </c>
      <c r="C197" s="4" t="str">
        <f>"KÖZEPES TEKERCS"</f>
        <v>KÖZEPES TEKERCS</v>
      </c>
      <c r="D197" s="6">
        <v>10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7"/>
      <c r="V197" s="6"/>
      <c r="W197" s="6"/>
      <c r="X197" s="6"/>
      <c r="Y197" s="6"/>
      <c r="Z197" s="6"/>
      <c r="AA197" s="6"/>
      <c r="AB197" s="6"/>
      <c r="AC197" s="6"/>
      <c r="AD197" s="6"/>
      <c r="AE197" s="5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>
        <v>2</v>
      </c>
      <c r="AR197" s="6"/>
      <c r="AS197" s="6"/>
      <c r="AT197" s="6"/>
      <c r="AU197" s="6"/>
      <c r="AV197" s="6"/>
      <c r="AW197" s="6"/>
      <c r="AX197" s="11">
        <f t="shared" si="7"/>
        <v>12</v>
      </c>
      <c r="AY197" s="42" t="s">
        <v>11</v>
      </c>
      <c r="AZ197" s="11"/>
    </row>
    <row r="198" spans="1:52" s="2" customFormat="1" hidden="1" x14ac:dyDescent="0.2">
      <c r="A198" s="3" t="s">
        <v>145</v>
      </c>
      <c r="B198" s="4" t="s">
        <v>224</v>
      </c>
      <c r="C198" s="4" t="str">
        <f>"MAPED VIVO"</f>
        <v>MAPED VIVO</v>
      </c>
      <c r="D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7"/>
      <c r="V198" s="6"/>
      <c r="W198" s="6"/>
      <c r="X198" s="6"/>
      <c r="Y198" s="6"/>
      <c r="Z198" s="6"/>
      <c r="AA198" s="6"/>
      <c r="AB198" s="6"/>
      <c r="AC198" s="6"/>
      <c r="AD198" s="6"/>
      <c r="AE198" s="5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11">
        <f t="shared" si="7"/>
        <v>0</v>
      </c>
      <c r="AY198" s="42"/>
      <c r="AZ198" s="11"/>
    </row>
    <row r="199" spans="1:52" s="2" customFormat="1" hidden="1" x14ac:dyDescent="0.2">
      <c r="A199" s="3" t="s">
        <v>146</v>
      </c>
      <c r="B199" s="4" t="s">
        <v>224</v>
      </c>
      <c r="C199" s="4" t="str">
        <f>"REXEL ACCO"</f>
        <v>REXEL ACCO</v>
      </c>
      <c r="D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7"/>
      <c r="V199" s="6"/>
      <c r="W199" s="6"/>
      <c r="X199" s="6"/>
      <c r="Y199" s="6"/>
      <c r="Z199" s="6"/>
      <c r="AA199" s="6"/>
      <c r="AB199" s="6"/>
      <c r="AC199" s="6"/>
      <c r="AD199" s="6"/>
      <c r="AE199" s="5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11">
        <f t="shared" si="7"/>
        <v>0</v>
      </c>
      <c r="AY199" s="42"/>
      <c r="AZ199" s="11"/>
    </row>
    <row r="200" spans="1:52" s="2" customFormat="1" hidden="1" x14ac:dyDescent="0.2">
      <c r="A200" s="3" t="s">
        <v>149</v>
      </c>
      <c r="B200" s="4" t="s">
        <v>224</v>
      </c>
      <c r="C200" s="4" t="str">
        <f>"TRAPER"</f>
        <v>TRAPER</v>
      </c>
      <c r="D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7"/>
      <c r="V200" s="6"/>
      <c r="W200" s="6"/>
      <c r="X200" s="6"/>
      <c r="Y200" s="6"/>
      <c r="Z200" s="6"/>
      <c r="AA200" s="6"/>
      <c r="AB200" s="6"/>
      <c r="AC200" s="6"/>
      <c r="AD200" s="6"/>
      <c r="AE200" s="5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11">
        <f t="shared" si="7"/>
        <v>0</v>
      </c>
      <c r="AY200" s="42"/>
      <c r="AZ200" s="11"/>
    </row>
    <row r="201" spans="1:52" s="2" customFormat="1" hidden="1" x14ac:dyDescent="0.2">
      <c r="A201" s="3" t="s">
        <v>151</v>
      </c>
      <c r="B201" s="4" t="s">
        <v>224</v>
      </c>
      <c r="C201" s="4" t="s">
        <v>226</v>
      </c>
      <c r="D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7"/>
      <c r="V201" s="6"/>
      <c r="W201" s="6"/>
      <c r="X201" s="6"/>
      <c r="Y201" s="6"/>
      <c r="Z201" s="6"/>
      <c r="AA201" s="6"/>
      <c r="AB201" s="6"/>
      <c r="AC201" s="6"/>
      <c r="AD201" s="6"/>
      <c r="AE201" s="5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11">
        <f t="shared" si="7"/>
        <v>0</v>
      </c>
      <c r="AY201" s="42"/>
      <c r="AZ201" s="11"/>
    </row>
    <row r="202" spans="1:52" s="2" customFormat="1" hidden="1" x14ac:dyDescent="0.2">
      <c r="A202" s="3" t="s">
        <v>154</v>
      </c>
      <c r="B202" s="4" t="s">
        <v>227</v>
      </c>
      <c r="C202" s="4" t="s">
        <v>228</v>
      </c>
      <c r="D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7"/>
      <c r="V202" s="6"/>
      <c r="W202" s="6"/>
      <c r="X202" s="6"/>
      <c r="Y202" s="6"/>
      <c r="Z202" s="6"/>
      <c r="AA202" s="6"/>
      <c r="AB202" s="6"/>
      <c r="AC202" s="6"/>
      <c r="AD202" s="6"/>
      <c r="AE202" s="5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11">
        <f t="shared" si="7"/>
        <v>0</v>
      </c>
      <c r="AY202" s="42"/>
      <c r="AZ202" s="11"/>
    </row>
    <row r="203" spans="1:52" s="2" customFormat="1" hidden="1" x14ac:dyDescent="0.2">
      <c r="A203" s="3" t="s">
        <v>155</v>
      </c>
      <c r="B203" s="4" t="s">
        <v>229</v>
      </c>
      <c r="C203" s="4" t="str">
        <f>"23/8"</f>
        <v>23/8</v>
      </c>
      <c r="D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6"/>
      <c r="W203" s="6"/>
      <c r="X203" s="6"/>
      <c r="Y203" s="6"/>
      <c r="Z203" s="6"/>
      <c r="AA203" s="6"/>
      <c r="AB203" s="6"/>
      <c r="AC203" s="6"/>
      <c r="AD203" s="6"/>
      <c r="AE203" s="5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11">
        <f t="shared" si="7"/>
        <v>0</v>
      </c>
      <c r="AY203" s="42"/>
      <c r="AZ203" s="11"/>
    </row>
    <row r="204" spans="1:52" s="2" customFormat="1" hidden="1" x14ac:dyDescent="0.2">
      <c r="A204" s="3" t="s">
        <v>158</v>
      </c>
      <c r="B204" s="4" t="s">
        <v>229</v>
      </c>
      <c r="C204" s="4" t="str">
        <f>"23/13"</f>
        <v>23/13</v>
      </c>
      <c r="D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7"/>
      <c r="V204" s="6"/>
      <c r="W204" s="6"/>
      <c r="X204" s="6"/>
      <c r="Y204" s="6"/>
      <c r="Z204" s="6"/>
      <c r="AA204" s="6"/>
      <c r="AB204" s="6"/>
      <c r="AC204" s="6"/>
      <c r="AD204" s="6"/>
      <c r="AE204" s="5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11">
        <f t="shared" si="7"/>
        <v>0</v>
      </c>
      <c r="AY204" s="42"/>
      <c r="AZ204" s="11"/>
    </row>
    <row r="205" spans="1:52" s="2" customFormat="1" hidden="1" x14ac:dyDescent="0.2">
      <c r="A205" s="3" t="s">
        <v>160</v>
      </c>
      <c r="B205" s="4" t="s">
        <v>229</v>
      </c>
      <c r="C205" s="18">
        <v>14</v>
      </c>
      <c r="D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6"/>
      <c r="W205" s="6"/>
      <c r="X205" s="6"/>
      <c r="Y205" s="6"/>
      <c r="Z205" s="6"/>
      <c r="AA205" s="6"/>
      <c r="AB205" s="6"/>
      <c r="AC205" s="6"/>
      <c r="AD205" s="6"/>
      <c r="AE205" s="5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11">
        <f t="shared" si="7"/>
        <v>0</v>
      </c>
      <c r="AY205" s="42"/>
      <c r="AZ205" s="11"/>
    </row>
    <row r="206" spans="1:52" s="4" customFormat="1" hidden="1" x14ac:dyDescent="0.2">
      <c r="A206" s="3" t="s">
        <v>162</v>
      </c>
      <c r="B206" s="4" t="s">
        <v>229</v>
      </c>
      <c r="D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7"/>
      <c r="V206" s="6"/>
      <c r="W206" s="6"/>
      <c r="X206" s="6"/>
      <c r="Y206" s="6"/>
      <c r="Z206" s="6"/>
      <c r="AA206" s="6"/>
      <c r="AB206" s="6"/>
      <c r="AC206" s="6"/>
      <c r="AD206" s="6"/>
      <c r="AE206" s="5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11">
        <f t="shared" si="7"/>
        <v>0</v>
      </c>
      <c r="AY206" s="42"/>
      <c r="AZ206" s="6"/>
    </row>
    <row r="207" spans="1:52" s="4" customFormat="1" hidden="1" x14ac:dyDescent="0.2">
      <c r="A207" s="3" t="s">
        <v>164</v>
      </c>
      <c r="B207" s="4" t="s">
        <v>229</v>
      </c>
      <c r="D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6"/>
      <c r="W207" s="6"/>
      <c r="X207" s="6"/>
      <c r="Y207" s="6"/>
      <c r="Z207" s="6"/>
      <c r="AA207" s="6"/>
      <c r="AB207" s="6"/>
      <c r="AC207" s="6"/>
      <c r="AD207" s="6"/>
      <c r="AE207" s="5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11">
        <f t="shared" si="7"/>
        <v>0</v>
      </c>
      <c r="AY207" s="42"/>
      <c r="AZ207" s="6"/>
    </row>
    <row r="208" spans="1:52" s="4" customFormat="1" hidden="1" x14ac:dyDescent="0.2">
      <c r="A208" s="3" t="s">
        <v>165</v>
      </c>
      <c r="B208" s="4" t="s">
        <v>229</v>
      </c>
      <c r="D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7"/>
      <c r="V208" s="6"/>
      <c r="W208" s="6"/>
      <c r="X208" s="6"/>
      <c r="Y208" s="6"/>
      <c r="Z208" s="6"/>
      <c r="AA208" s="6"/>
      <c r="AB208" s="6"/>
      <c r="AC208" s="6"/>
      <c r="AD208" s="6"/>
      <c r="AE208" s="5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11">
        <f t="shared" si="7"/>
        <v>0</v>
      </c>
      <c r="AY208" s="42"/>
      <c r="AZ208" s="6"/>
    </row>
    <row r="209" spans="1:53" s="4" customFormat="1" hidden="1" x14ac:dyDescent="0.2">
      <c r="A209" s="3" t="s">
        <v>171</v>
      </c>
      <c r="B209" s="4" t="s">
        <v>229</v>
      </c>
      <c r="C209" s="4" t="str">
        <f>"A/4 25X4"</f>
        <v>A/4 25X4</v>
      </c>
      <c r="D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6"/>
      <c r="W209" s="6"/>
      <c r="X209" s="6"/>
      <c r="Y209" s="6"/>
      <c r="Z209" s="6"/>
      <c r="AA209" s="6"/>
      <c r="AB209" s="6"/>
      <c r="AC209" s="6"/>
      <c r="AD209" s="6"/>
      <c r="AE209" s="5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11">
        <f t="shared" si="7"/>
        <v>0</v>
      </c>
      <c r="AY209" s="42"/>
      <c r="AZ209" s="6"/>
    </row>
    <row r="210" spans="1:53" s="4" customFormat="1" hidden="1" x14ac:dyDescent="0.2">
      <c r="A210" s="3" t="s">
        <v>172</v>
      </c>
      <c r="B210" s="4" t="s">
        <v>229</v>
      </c>
      <c r="C210" s="4" t="str">
        <f>"25X2 V.VÁLL 71/V"</f>
        <v>25X2 V.VÁLL 71/V</v>
      </c>
      <c r="D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7"/>
      <c r="V210" s="6"/>
      <c r="W210" s="6"/>
      <c r="X210" s="6"/>
      <c r="Y210" s="6"/>
      <c r="Z210" s="6"/>
      <c r="AA210" s="6"/>
      <c r="AB210" s="6"/>
      <c r="AC210" s="6"/>
      <c r="AD210" s="6"/>
      <c r="AE210" s="5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11">
        <f t="shared" si="7"/>
        <v>0</v>
      </c>
      <c r="AY210" s="42"/>
      <c r="AZ210" s="6"/>
    </row>
    <row r="211" spans="1:53" s="4" customFormat="1" hidden="1" x14ac:dyDescent="0.2">
      <c r="A211" s="3" t="s">
        <v>173</v>
      </c>
      <c r="B211" s="4" t="s">
        <v>229</v>
      </c>
      <c r="C211" s="4" t="str">
        <f>"PÁTRIA (C.3337-11)"</f>
        <v>PÁTRIA (C.3337-11)</v>
      </c>
      <c r="D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6"/>
      <c r="W211" s="6"/>
      <c r="X211" s="6"/>
      <c r="Y211" s="6"/>
      <c r="Z211" s="6"/>
      <c r="AA211" s="6"/>
      <c r="AB211" s="6"/>
      <c r="AC211" s="6"/>
      <c r="AD211" s="6"/>
      <c r="AE211" s="5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11">
        <f t="shared" si="7"/>
        <v>0</v>
      </c>
      <c r="AY211" s="42"/>
      <c r="AZ211" s="6"/>
    </row>
    <row r="212" spans="1:53" s="4" customFormat="1" hidden="1" x14ac:dyDescent="0.2">
      <c r="A212" s="3" t="s">
        <v>175</v>
      </c>
      <c r="B212" s="4" t="s">
        <v>229</v>
      </c>
      <c r="D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7"/>
      <c r="V212" s="6"/>
      <c r="W212" s="6"/>
      <c r="X212" s="6"/>
      <c r="Y212" s="6"/>
      <c r="Z212" s="6"/>
      <c r="AA212" s="6"/>
      <c r="AB212" s="6"/>
      <c r="AC212" s="6"/>
      <c r="AD212" s="6"/>
      <c r="AE212" s="5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11">
        <f t="shared" si="7"/>
        <v>0</v>
      </c>
      <c r="AY212" s="42"/>
      <c r="AZ212" s="6"/>
    </row>
    <row r="213" spans="1:53" s="4" customFormat="1" hidden="1" x14ac:dyDescent="0.2">
      <c r="A213" s="3" t="s">
        <v>177</v>
      </c>
      <c r="B213" s="4" t="s">
        <v>229</v>
      </c>
      <c r="C213" s="4" t="str">
        <f>"A/4"</f>
        <v>A/4</v>
      </c>
      <c r="D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7"/>
      <c r="V213" s="6"/>
      <c r="W213" s="6"/>
      <c r="X213" s="6"/>
      <c r="Y213" s="6"/>
      <c r="Z213" s="6"/>
      <c r="AA213" s="6"/>
      <c r="AB213" s="6"/>
      <c r="AC213" s="6"/>
      <c r="AD213" s="6"/>
      <c r="AE213" s="5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11">
        <f t="shared" ref="AX213:AX250" si="8">SUM(D213:AW213)</f>
        <v>0</v>
      </c>
      <c r="AY213" s="42"/>
      <c r="AZ213" s="6"/>
    </row>
    <row r="214" spans="1:53" s="4" customFormat="1" hidden="1" x14ac:dyDescent="0.2">
      <c r="A214" s="3" t="s">
        <v>179</v>
      </c>
      <c r="B214" s="4" t="s">
        <v>229</v>
      </c>
      <c r="C214" s="4" t="str">
        <f>"DVV.1250/ÚJ A/5"</f>
        <v>DVV.1250/ÚJ A/5</v>
      </c>
      <c r="D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7"/>
      <c r="V214" s="6"/>
      <c r="W214" s="6"/>
      <c r="X214" s="6"/>
      <c r="Y214" s="6"/>
      <c r="Z214" s="6"/>
      <c r="AA214" s="6"/>
      <c r="AB214" s="6"/>
      <c r="AC214" s="6"/>
      <c r="AD214" s="6"/>
      <c r="AE214" s="5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11">
        <f t="shared" si="8"/>
        <v>0</v>
      </c>
      <c r="AY214" s="42"/>
      <c r="AZ214" s="6"/>
    </row>
    <row r="215" spans="1:53" s="4" customFormat="1" hidden="1" x14ac:dyDescent="0.2">
      <c r="A215" s="3" t="s">
        <v>180</v>
      </c>
      <c r="B215" s="4" t="s">
        <v>229</v>
      </c>
      <c r="C215" s="4" t="s">
        <v>230</v>
      </c>
      <c r="D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6"/>
      <c r="W215" s="6"/>
      <c r="X215" s="6"/>
      <c r="Y215" s="6"/>
      <c r="Z215" s="6"/>
      <c r="AA215" s="6"/>
      <c r="AB215" s="6"/>
      <c r="AC215" s="6"/>
      <c r="AD215" s="6"/>
      <c r="AE215" s="5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11">
        <f t="shared" si="8"/>
        <v>0</v>
      </c>
      <c r="AY215" s="42"/>
      <c r="AZ215" s="6"/>
    </row>
    <row r="216" spans="1:53" s="4" customFormat="1" hidden="1" x14ac:dyDescent="0.2">
      <c r="A216" s="3" t="s">
        <v>182</v>
      </c>
      <c r="B216" s="4" t="s">
        <v>229</v>
      </c>
      <c r="D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7"/>
      <c r="V216" s="6"/>
      <c r="W216" s="6"/>
      <c r="X216" s="6"/>
      <c r="Y216" s="6"/>
      <c r="Z216" s="6"/>
      <c r="AA216" s="6"/>
      <c r="AB216" s="6"/>
      <c r="AC216" s="6"/>
      <c r="AD216" s="6"/>
      <c r="AE216" s="5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11">
        <f t="shared" si="8"/>
        <v>0</v>
      </c>
      <c r="AY216" s="42"/>
      <c r="AZ216" s="6"/>
    </row>
    <row r="217" spans="1:53" s="4" customFormat="1" x14ac:dyDescent="0.2">
      <c r="A217" s="3" t="s">
        <v>145</v>
      </c>
      <c r="B217" s="4" t="s">
        <v>231</v>
      </c>
      <c r="C217" s="4" t="s">
        <v>232</v>
      </c>
      <c r="D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7"/>
      <c r="V217" s="6"/>
      <c r="W217" s="6"/>
      <c r="X217" s="6"/>
      <c r="Y217" s="6"/>
      <c r="Z217" s="6"/>
      <c r="AA217" s="6"/>
      <c r="AB217" s="6"/>
      <c r="AC217" s="6"/>
      <c r="AD217" s="6"/>
      <c r="AE217" s="5"/>
      <c r="AF217" s="6"/>
      <c r="AG217" s="6"/>
      <c r="AH217" s="6"/>
      <c r="AI217" s="6">
        <v>1</v>
      </c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11">
        <f t="shared" si="8"/>
        <v>1</v>
      </c>
      <c r="AY217" s="42" t="s">
        <v>11</v>
      </c>
      <c r="AZ217" s="6"/>
    </row>
    <row r="218" spans="1:53" s="4" customFormat="1" x14ac:dyDescent="0.2">
      <c r="A218" s="3" t="s">
        <v>146</v>
      </c>
      <c r="B218" s="4" t="s">
        <v>233</v>
      </c>
      <c r="C218" s="4" t="s">
        <v>234</v>
      </c>
      <c r="D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>
        <v>1</v>
      </c>
      <c r="R218" s="6"/>
      <c r="S218" s="6"/>
      <c r="T218" s="6"/>
      <c r="U218" s="7"/>
      <c r="V218" s="6"/>
      <c r="W218" s="6"/>
      <c r="X218" s="6"/>
      <c r="Y218" s="6"/>
      <c r="Z218" s="6"/>
      <c r="AA218" s="6"/>
      <c r="AB218" s="6"/>
      <c r="AC218" s="6"/>
      <c r="AD218" s="6"/>
      <c r="AE218" s="5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>
        <v>2</v>
      </c>
      <c r="AW218" s="6"/>
      <c r="AX218" s="11">
        <f t="shared" si="8"/>
        <v>3</v>
      </c>
      <c r="AY218" s="42" t="s">
        <v>11</v>
      </c>
      <c r="AZ218" s="6"/>
    </row>
    <row r="219" spans="1:53" x14ac:dyDescent="0.2">
      <c r="A219" s="3" t="s">
        <v>149</v>
      </c>
      <c r="B219" s="4" t="str">
        <f>"RAGASZTÓ SZALAG (CELLUX)"</f>
        <v>RAGASZTÓ SZALAG (CELLUX)</v>
      </c>
      <c r="C219" s="2" t="s">
        <v>235</v>
      </c>
      <c r="D219" s="11">
        <v>10</v>
      </c>
      <c r="F219" s="11">
        <v>5</v>
      </c>
      <c r="AE219" s="14"/>
      <c r="AF219" s="11"/>
      <c r="AH219" s="11"/>
      <c r="AJ219" s="11"/>
      <c r="AQ219" s="15">
        <v>1</v>
      </c>
      <c r="AX219" s="11">
        <f t="shared" si="8"/>
        <v>16</v>
      </c>
      <c r="AY219" s="42" t="s">
        <v>11</v>
      </c>
      <c r="AZ219" s="11"/>
      <c r="BA219" s="2"/>
    </row>
    <row r="220" spans="1:53" s="4" customFormat="1" x14ac:dyDescent="0.2">
      <c r="A220" s="3" t="s">
        <v>151</v>
      </c>
      <c r="B220" s="4" t="s">
        <v>236</v>
      </c>
      <c r="C220" s="4" t="s">
        <v>237</v>
      </c>
      <c r="D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7"/>
      <c r="V220" s="6"/>
      <c r="W220" s="6"/>
      <c r="X220" s="6"/>
      <c r="Y220" s="6"/>
      <c r="Z220" s="6"/>
      <c r="AA220" s="6"/>
      <c r="AB220" s="6"/>
      <c r="AC220" s="6"/>
      <c r="AD220" s="6"/>
      <c r="AE220" s="5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>
        <v>2</v>
      </c>
      <c r="AQ220" s="6"/>
      <c r="AR220" s="6"/>
      <c r="AS220" s="6"/>
      <c r="AT220" s="6"/>
      <c r="AU220" s="6"/>
      <c r="AV220" s="6"/>
      <c r="AW220" s="6"/>
      <c r="AX220" s="11">
        <f t="shared" si="8"/>
        <v>2</v>
      </c>
      <c r="AY220" s="42" t="s">
        <v>11</v>
      </c>
      <c r="AZ220" s="6"/>
    </row>
    <row r="221" spans="1:53" s="2" customFormat="1" x14ac:dyDescent="0.2">
      <c r="A221" s="3" t="s">
        <v>154</v>
      </c>
      <c r="B221" s="4" t="s">
        <v>236</v>
      </c>
      <c r="C221" s="4" t="s">
        <v>238</v>
      </c>
      <c r="D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7"/>
      <c r="V221" s="6"/>
      <c r="W221" s="6"/>
      <c r="X221" s="6"/>
      <c r="Y221" s="6"/>
      <c r="Z221" s="6"/>
      <c r="AA221" s="6"/>
      <c r="AB221" s="6"/>
      <c r="AC221" s="6"/>
      <c r="AD221" s="6"/>
      <c r="AE221" s="5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>
        <v>2</v>
      </c>
      <c r="AT221" s="6"/>
      <c r="AU221" s="6"/>
      <c r="AV221" s="6"/>
      <c r="AW221" s="6"/>
      <c r="AX221" s="11">
        <f t="shared" si="8"/>
        <v>2</v>
      </c>
      <c r="AY221" s="42" t="s">
        <v>11</v>
      </c>
      <c r="AZ221" s="11"/>
    </row>
    <row r="222" spans="1:53" s="2" customFormat="1" x14ac:dyDescent="0.2">
      <c r="A222" s="3" t="s">
        <v>155</v>
      </c>
      <c r="B222" s="4" t="s">
        <v>236</v>
      </c>
      <c r="C222" s="4" t="s">
        <v>239</v>
      </c>
      <c r="D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7"/>
      <c r="V222" s="6"/>
      <c r="W222" s="6"/>
      <c r="X222" s="6"/>
      <c r="Y222" s="6"/>
      <c r="Z222" s="6"/>
      <c r="AA222" s="6"/>
      <c r="AB222" s="6"/>
      <c r="AC222" s="6"/>
      <c r="AD222" s="6"/>
      <c r="AE222" s="5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>
        <v>2</v>
      </c>
      <c r="AQ222" s="6"/>
      <c r="AR222" s="6"/>
      <c r="AS222" s="6"/>
      <c r="AT222" s="6"/>
      <c r="AU222" s="6"/>
      <c r="AV222" s="6"/>
      <c r="AW222" s="6"/>
      <c r="AX222" s="11">
        <f t="shared" si="8"/>
        <v>2</v>
      </c>
      <c r="AY222" s="42" t="s">
        <v>11</v>
      </c>
      <c r="AZ222" s="11"/>
    </row>
    <row r="223" spans="1:53" s="2" customFormat="1" x14ac:dyDescent="0.2">
      <c r="A223" s="3" t="s">
        <v>158</v>
      </c>
      <c r="B223" s="4" t="s">
        <v>240</v>
      </c>
      <c r="C223" s="4" t="s">
        <v>241</v>
      </c>
      <c r="D223" s="6">
        <v>5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7"/>
      <c r="V223" s="6"/>
      <c r="W223" s="6"/>
      <c r="X223" s="6"/>
      <c r="Y223" s="6"/>
      <c r="Z223" s="6"/>
      <c r="AA223" s="6"/>
      <c r="AB223" s="6"/>
      <c r="AC223" s="6"/>
      <c r="AD223" s="6"/>
      <c r="AE223" s="5"/>
      <c r="AF223" s="6"/>
      <c r="AG223" s="6"/>
      <c r="AH223" s="6"/>
      <c r="AI223" s="6">
        <v>3</v>
      </c>
      <c r="AJ223" s="6"/>
      <c r="AK223" s="6"/>
      <c r="AL223" s="6"/>
      <c r="AM223" s="6"/>
      <c r="AN223" s="6"/>
      <c r="AO223" s="6"/>
      <c r="AP223" s="6">
        <v>2</v>
      </c>
      <c r="AQ223" s="6"/>
      <c r="AR223" s="6"/>
      <c r="AS223" s="6"/>
      <c r="AT223" s="6"/>
      <c r="AU223" s="6"/>
      <c r="AV223" s="6"/>
      <c r="AW223" s="6"/>
      <c r="AX223" s="11">
        <f t="shared" si="8"/>
        <v>10</v>
      </c>
      <c r="AY223" s="42" t="s">
        <v>11</v>
      </c>
      <c r="AZ223" s="11"/>
    </row>
    <row r="224" spans="1:53" s="2" customFormat="1" x14ac:dyDescent="0.2">
      <c r="A224" s="3" t="s">
        <v>160</v>
      </c>
      <c r="B224" s="4" t="s">
        <v>240</v>
      </c>
      <c r="C224" s="4" t="s">
        <v>242</v>
      </c>
      <c r="D224" s="6">
        <v>5</v>
      </c>
      <c r="F224" s="6">
        <v>10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7"/>
      <c r="V224" s="6"/>
      <c r="W224" s="6"/>
      <c r="X224" s="6"/>
      <c r="Y224" s="6"/>
      <c r="Z224" s="6"/>
      <c r="AA224" s="6"/>
      <c r="AB224" s="6"/>
      <c r="AC224" s="6"/>
      <c r="AD224" s="6"/>
      <c r="AE224" s="5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11">
        <f t="shared" si="8"/>
        <v>15</v>
      </c>
      <c r="AY224" s="42" t="s">
        <v>11</v>
      </c>
      <c r="AZ224" s="11"/>
    </row>
    <row r="225" spans="1:52" s="4" customFormat="1" x14ac:dyDescent="0.2">
      <c r="A225" s="3" t="s">
        <v>162</v>
      </c>
      <c r="B225" s="19" t="s">
        <v>240</v>
      </c>
      <c r="C225" s="4" t="s">
        <v>243</v>
      </c>
      <c r="D225" s="6">
        <v>5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7"/>
      <c r="V225" s="6"/>
      <c r="W225" s="6"/>
      <c r="X225" s="6"/>
      <c r="Y225" s="6"/>
      <c r="Z225" s="6"/>
      <c r="AA225" s="6"/>
      <c r="AB225" s="6"/>
      <c r="AC225" s="6"/>
      <c r="AD225" s="6"/>
      <c r="AE225" s="5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>
        <v>2</v>
      </c>
      <c r="AW225" s="6"/>
      <c r="AX225" s="11">
        <f t="shared" si="8"/>
        <v>7</v>
      </c>
      <c r="AY225" s="42" t="s">
        <v>11</v>
      </c>
      <c r="AZ225" s="6"/>
    </row>
    <row r="226" spans="1:52" s="4" customFormat="1" x14ac:dyDescent="0.2">
      <c r="A226" s="3" t="s">
        <v>164</v>
      </c>
      <c r="B226" s="4" t="s">
        <v>188</v>
      </c>
      <c r="C226" s="4" t="s">
        <v>244</v>
      </c>
      <c r="D226" s="6">
        <v>5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7"/>
      <c r="V226" s="6"/>
      <c r="W226" s="6"/>
      <c r="X226" s="6"/>
      <c r="Y226" s="6"/>
      <c r="Z226" s="6"/>
      <c r="AA226" s="6"/>
      <c r="AB226" s="6"/>
      <c r="AC226" s="6"/>
      <c r="AD226" s="6"/>
      <c r="AE226" s="5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11">
        <f t="shared" si="8"/>
        <v>5</v>
      </c>
      <c r="AY226" s="42" t="s">
        <v>11</v>
      </c>
      <c r="AZ226" s="6"/>
    </row>
    <row r="227" spans="1:52" s="4" customFormat="1" x14ac:dyDescent="0.2">
      <c r="A227" s="3" t="s">
        <v>165</v>
      </c>
      <c r="B227" s="4" t="s">
        <v>188</v>
      </c>
      <c r="C227" s="4" t="s">
        <v>245</v>
      </c>
      <c r="D227" s="6">
        <v>5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7"/>
      <c r="V227" s="6"/>
      <c r="W227" s="6"/>
      <c r="X227" s="6"/>
      <c r="Y227" s="6"/>
      <c r="Z227" s="6"/>
      <c r="AA227" s="6"/>
      <c r="AB227" s="6"/>
      <c r="AC227" s="6"/>
      <c r="AD227" s="6"/>
      <c r="AE227" s="5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11">
        <f t="shared" si="8"/>
        <v>5</v>
      </c>
      <c r="AY227" s="42" t="s">
        <v>11</v>
      </c>
      <c r="AZ227" s="6"/>
    </row>
    <row r="228" spans="1:52" s="4" customFormat="1" x14ac:dyDescent="0.2">
      <c r="A228" s="3" t="s">
        <v>171</v>
      </c>
      <c r="B228" s="4" t="s">
        <v>188</v>
      </c>
      <c r="C228" s="4" t="s">
        <v>246</v>
      </c>
      <c r="D228" s="6">
        <v>5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7"/>
      <c r="V228" s="6"/>
      <c r="W228" s="6"/>
      <c r="X228" s="6"/>
      <c r="Y228" s="6"/>
      <c r="Z228" s="6"/>
      <c r="AA228" s="6"/>
      <c r="AB228" s="6"/>
      <c r="AC228" s="6"/>
      <c r="AD228" s="6"/>
      <c r="AE228" s="5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11">
        <f t="shared" si="8"/>
        <v>5</v>
      </c>
      <c r="AY228" s="42" t="s">
        <v>11</v>
      </c>
      <c r="AZ228" s="6"/>
    </row>
    <row r="229" spans="1:52" s="4" customFormat="1" x14ac:dyDescent="0.2">
      <c r="A229" s="3" t="s">
        <v>172</v>
      </c>
      <c r="B229" s="4" t="s">
        <v>188</v>
      </c>
      <c r="C229" s="4" t="s">
        <v>247</v>
      </c>
      <c r="D229" s="6">
        <v>5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7"/>
      <c r="V229" s="6"/>
      <c r="W229" s="6"/>
      <c r="X229" s="6"/>
      <c r="Y229" s="6"/>
      <c r="Z229" s="6"/>
      <c r="AA229" s="6"/>
      <c r="AB229" s="6"/>
      <c r="AC229" s="6"/>
      <c r="AD229" s="6"/>
      <c r="AE229" s="5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>
        <v>1</v>
      </c>
      <c r="AT229" s="6"/>
      <c r="AU229" s="6"/>
      <c r="AV229" s="6"/>
      <c r="AW229" s="6"/>
      <c r="AX229" s="11">
        <f t="shared" si="8"/>
        <v>6</v>
      </c>
      <c r="AY229" s="42" t="s">
        <v>11</v>
      </c>
      <c r="AZ229" s="6"/>
    </row>
    <row r="230" spans="1:52" s="4" customFormat="1" x14ac:dyDescent="0.2">
      <c r="A230" s="3" t="s">
        <v>173</v>
      </c>
      <c r="B230" s="4" t="s">
        <v>188</v>
      </c>
      <c r="C230" s="4" t="s">
        <v>248</v>
      </c>
      <c r="D230" s="6">
        <v>5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7"/>
      <c r="V230" s="6"/>
      <c r="W230" s="6"/>
      <c r="X230" s="6"/>
      <c r="Y230" s="6"/>
      <c r="Z230" s="6"/>
      <c r="AA230" s="6"/>
      <c r="AB230" s="6"/>
      <c r="AC230" s="6"/>
      <c r="AD230" s="6"/>
      <c r="AE230" s="5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>
        <v>6</v>
      </c>
      <c r="AW230" s="6"/>
      <c r="AX230" s="11">
        <f t="shared" si="8"/>
        <v>11</v>
      </c>
      <c r="AY230" s="42" t="s">
        <v>11</v>
      </c>
      <c r="AZ230" s="6"/>
    </row>
    <row r="231" spans="1:52" s="4" customFormat="1" x14ac:dyDescent="0.2">
      <c r="A231" s="3" t="s">
        <v>175</v>
      </c>
      <c r="B231" s="4" t="s">
        <v>188</v>
      </c>
      <c r="C231" s="4" t="s">
        <v>249</v>
      </c>
      <c r="D231" s="6">
        <v>5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v>1</v>
      </c>
      <c r="R231" s="6"/>
      <c r="S231" s="6"/>
      <c r="T231" s="6"/>
      <c r="U231" s="7"/>
      <c r="V231" s="6"/>
      <c r="W231" s="6"/>
      <c r="X231" s="6"/>
      <c r="Y231" s="6"/>
      <c r="Z231" s="6"/>
      <c r="AA231" s="6"/>
      <c r="AB231" s="6"/>
      <c r="AC231" s="6"/>
      <c r="AD231" s="6"/>
      <c r="AE231" s="5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>
        <v>6</v>
      </c>
      <c r="AW231" s="6"/>
      <c r="AX231" s="11">
        <f t="shared" si="8"/>
        <v>12</v>
      </c>
      <c r="AY231" s="42" t="s">
        <v>11</v>
      </c>
      <c r="AZ231" s="6"/>
    </row>
    <row r="232" spans="1:52" s="4" customFormat="1" x14ac:dyDescent="0.2">
      <c r="A232" s="3" t="s">
        <v>177</v>
      </c>
      <c r="B232" s="4" t="s">
        <v>250</v>
      </c>
      <c r="D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7"/>
      <c r="V232" s="6"/>
      <c r="W232" s="6"/>
      <c r="X232" s="6"/>
      <c r="Y232" s="6"/>
      <c r="Z232" s="6"/>
      <c r="AA232" s="6"/>
      <c r="AB232" s="6"/>
      <c r="AC232" s="6"/>
      <c r="AD232" s="6"/>
      <c r="AE232" s="5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>
        <v>10</v>
      </c>
      <c r="AT232" s="6"/>
      <c r="AU232" s="6"/>
      <c r="AV232" s="6"/>
      <c r="AW232" s="6"/>
      <c r="AX232" s="11">
        <f t="shared" si="8"/>
        <v>10</v>
      </c>
      <c r="AY232" s="42" t="s">
        <v>11</v>
      </c>
      <c r="AZ232" s="6"/>
    </row>
    <row r="233" spans="1:52" s="4" customFormat="1" x14ac:dyDescent="0.2">
      <c r="A233" s="3" t="s">
        <v>179</v>
      </c>
      <c r="B233" s="4" t="s">
        <v>251</v>
      </c>
      <c r="C233" s="4" t="s">
        <v>22</v>
      </c>
      <c r="D233" s="6">
        <v>2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7"/>
      <c r="V233" s="6"/>
      <c r="W233" s="6"/>
      <c r="X233" s="6"/>
      <c r="Y233" s="6"/>
      <c r="Z233" s="6"/>
      <c r="AA233" s="6"/>
      <c r="AB233" s="6"/>
      <c r="AC233" s="6"/>
      <c r="AD233" s="6"/>
      <c r="AE233" s="5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>
        <v>2</v>
      </c>
      <c r="AW233" s="6"/>
      <c r="AX233" s="11">
        <f t="shared" si="8"/>
        <v>4</v>
      </c>
      <c r="AY233" s="42" t="s">
        <v>11</v>
      </c>
      <c r="AZ233" s="6"/>
    </row>
    <row r="234" spans="1:52" s="4" customFormat="1" x14ac:dyDescent="0.2">
      <c r="A234" s="3" t="s">
        <v>180</v>
      </c>
      <c r="B234" s="4" t="s">
        <v>251</v>
      </c>
      <c r="C234" s="4" t="s">
        <v>252</v>
      </c>
      <c r="D234" s="6">
        <v>2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7"/>
      <c r="V234" s="6"/>
      <c r="W234" s="6"/>
      <c r="X234" s="6"/>
      <c r="Y234" s="6"/>
      <c r="Z234" s="6"/>
      <c r="AA234" s="6"/>
      <c r="AB234" s="6"/>
      <c r="AC234" s="6"/>
      <c r="AD234" s="6"/>
      <c r="AE234" s="5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>
        <v>2</v>
      </c>
      <c r="AW234" s="6"/>
      <c r="AX234" s="11">
        <f t="shared" si="8"/>
        <v>4</v>
      </c>
      <c r="AY234" s="42" t="s">
        <v>11</v>
      </c>
      <c r="AZ234" s="6"/>
    </row>
    <row r="235" spans="1:52" s="2" customFormat="1" x14ac:dyDescent="0.2">
      <c r="A235" s="3" t="s">
        <v>182</v>
      </c>
      <c r="B235" s="4" t="s">
        <v>251</v>
      </c>
      <c r="C235" s="4" t="s">
        <v>253</v>
      </c>
      <c r="D235" s="6">
        <v>2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7"/>
      <c r="V235" s="6"/>
      <c r="W235" s="6"/>
      <c r="X235" s="6"/>
      <c r="Y235" s="6"/>
      <c r="Z235" s="6"/>
      <c r="AA235" s="6"/>
      <c r="AB235" s="6"/>
      <c r="AC235" s="6"/>
      <c r="AD235" s="6"/>
      <c r="AE235" s="5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>
        <v>1</v>
      </c>
      <c r="AQ235" s="6"/>
      <c r="AR235" s="6"/>
      <c r="AS235" s="6"/>
      <c r="AT235" s="6"/>
      <c r="AU235" s="6"/>
      <c r="AV235" s="6">
        <v>2</v>
      </c>
      <c r="AW235" s="6"/>
      <c r="AX235" s="11">
        <f t="shared" si="8"/>
        <v>5</v>
      </c>
      <c r="AY235" s="42" t="s">
        <v>11</v>
      </c>
      <c r="AZ235" s="11"/>
    </row>
    <row r="236" spans="1:52" s="2" customFormat="1" x14ac:dyDescent="0.2">
      <c r="A236" s="3" t="s">
        <v>185</v>
      </c>
      <c r="B236" s="4" t="s">
        <v>251</v>
      </c>
      <c r="C236" s="4" t="s">
        <v>254</v>
      </c>
      <c r="D236" s="6">
        <v>2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7"/>
      <c r="V236" s="6"/>
      <c r="W236" s="6"/>
      <c r="X236" s="6"/>
      <c r="Y236" s="6"/>
      <c r="Z236" s="6"/>
      <c r="AA236" s="6"/>
      <c r="AB236" s="6"/>
      <c r="AC236" s="6"/>
      <c r="AD236" s="6"/>
      <c r="AE236" s="5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>
        <v>2</v>
      </c>
      <c r="AW236" s="6"/>
      <c r="AX236" s="11">
        <f t="shared" si="8"/>
        <v>4</v>
      </c>
      <c r="AY236" s="42" t="s">
        <v>11</v>
      </c>
      <c r="AZ236" s="11"/>
    </row>
    <row r="237" spans="1:52" s="2" customFormat="1" x14ac:dyDescent="0.2">
      <c r="A237" s="3" t="s">
        <v>186</v>
      </c>
      <c r="B237" s="4" t="s">
        <v>251</v>
      </c>
      <c r="C237" s="4" t="s">
        <v>255</v>
      </c>
      <c r="D237" s="6">
        <v>2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>
        <v>1</v>
      </c>
      <c r="R237" s="6"/>
      <c r="S237" s="6"/>
      <c r="T237" s="6"/>
      <c r="U237" s="7"/>
      <c r="V237" s="6"/>
      <c r="W237" s="6"/>
      <c r="X237" s="6"/>
      <c r="Y237" s="6"/>
      <c r="Z237" s="6"/>
      <c r="AA237" s="6"/>
      <c r="AB237" s="6"/>
      <c r="AC237" s="6"/>
      <c r="AD237" s="6"/>
      <c r="AE237" s="5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>
        <v>2</v>
      </c>
      <c r="AW237" s="6"/>
      <c r="AX237" s="11">
        <f t="shared" si="8"/>
        <v>5</v>
      </c>
      <c r="AY237" s="42" t="s">
        <v>11</v>
      </c>
      <c r="AZ237" s="11"/>
    </row>
    <row r="238" spans="1:52" s="2" customFormat="1" x14ac:dyDescent="0.2">
      <c r="A238" s="3" t="s">
        <v>187</v>
      </c>
      <c r="B238" s="4" t="s">
        <v>256</v>
      </c>
      <c r="C238" s="4" t="str">
        <f>"100X100 MM"</f>
        <v>100X100 MM</v>
      </c>
      <c r="D238" s="6">
        <v>5</v>
      </c>
      <c r="F238" s="6"/>
      <c r="G238" s="6"/>
      <c r="H238" s="6"/>
      <c r="I238" s="6">
        <v>3</v>
      </c>
      <c r="J238" s="6"/>
      <c r="K238" s="6">
        <v>1</v>
      </c>
      <c r="L238" s="6"/>
      <c r="M238" s="6"/>
      <c r="N238" s="6"/>
      <c r="O238" s="6"/>
      <c r="P238" s="6"/>
      <c r="Q238" s="6"/>
      <c r="R238" s="6"/>
      <c r="S238" s="6"/>
      <c r="T238" s="6">
        <v>2</v>
      </c>
      <c r="U238" s="7"/>
      <c r="V238" s="6"/>
      <c r="W238" s="6"/>
      <c r="X238" s="6"/>
      <c r="Y238" s="6"/>
      <c r="Z238" s="6"/>
      <c r="AA238" s="6"/>
      <c r="AB238" s="6"/>
      <c r="AC238" s="6"/>
      <c r="AD238" s="6"/>
      <c r="AE238" s="5"/>
      <c r="AF238" s="6"/>
      <c r="AG238" s="6"/>
      <c r="AH238" s="6"/>
      <c r="AI238" s="6"/>
      <c r="AJ238" s="6"/>
      <c r="AK238" s="6"/>
      <c r="AL238" s="6"/>
      <c r="AM238" s="6"/>
      <c r="AN238" s="6"/>
      <c r="AO238" s="6">
        <v>1</v>
      </c>
      <c r="AP238" s="6"/>
      <c r="AQ238" s="6">
        <v>1</v>
      </c>
      <c r="AR238" s="6"/>
      <c r="AS238" s="6"/>
      <c r="AT238" s="6"/>
      <c r="AU238" s="6">
        <v>1</v>
      </c>
      <c r="AV238" s="6">
        <v>4</v>
      </c>
      <c r="AW238" s="6"/>
      <c r="AX238" s="11">
        <f t="shared" si="8"/>
        <v>18</v>
      </c>
      <c r="AY238" s="42" t="s">
        <v>11</v>
      </c>
      <c r="AZ238" s="11"/>
    </row>
    <row r="239" spans="1:52" s="2" customFormat="1" x14ac:dyDescent="0.2">
      <c r="A239" s="3" t="s">
        <v>191</v>
      </c>
      <c r="B239" s="4" t="s">
        <v>222</v>
      </c>
      <c r="C239" s="4" t="str">
        <f>"050X040 MM"</f>
        <v>050X040 MM</v>
      </c>
      <c r="D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7"/>
      <c r="V239" s="6"/>
      <c r="W239" s="6"/>
      <c r="X239" s="6"/>
      <c r="Y239" s="6"/>
      <c r="Z239" s="6"/>
      <c r="AA239" s="6"/>
      <c r="AB239" s="6"/>
      <c r="AC239" s="6"/>
      <c r="AD239" s="6"/>
      <c r="AE239" s="5"/>
      <c r="AF239" s="6"/>
      <c r="AG239" s="6"/>
      <c r="AH239" s="6"/>
      <c r="AI239" s="6"/>
      <c r="AJ239" s="6"/>
      <c r="AK239" s="6"/>
      <c r="AL239" s="6"/>
      <c r="AM239" s="6"/>
      <c r="AN239" s="6"/>
      <c r="AO239" s="6">
        <v>2</v>
      </c>
      <c r="AP239" s="6"/>
      <c r="AQ239" s="6">
        <v>6</v>
      </c>
      <c r="AR239" s="6"/>
      <c r="AS239" s="6"/>
      <c r="AT239" s="6"/>
      <c r="AU239" s="6"/>
      <c r="AV239" s="6"/>
      <c r="AW239" s="6"/>
      <c r="AX239" s="11">
        <f t="shared" si="8"/>
        <v>8</v>
      </c>
      <c r="AY239" s="42" t="s">
        <v>11</v>
      </c>
      <c r="AZ239" s="11"/>
    </row>
    <row r="240" spans="1:52" s="4" customFormat="1" x14ac:dyDescent="0.2">
      <c r="A240" s="3" t="s">
        <v>193</v>
      </c>
      <c r="B240" s="4" t="s">
        <v>222</v>
      </c>
      <c r="C240" s="4" t="str">
        <f>"075X075 MM"</f>
        <v>075X075 MM</v>
      </c>
      <c r="D240" s="6">
        <v>5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7"/>
      <c r="V240" s="6"/>
      <c r="W240" s="6"/>
      <c r="X240" s="6"/>
      <c r="Y240" s="6"/>
      <c r="Z240" s="6"/>
      <c r="AA240" s="6"/>
      <c r="AB240" s="6"/>
      <c r="AC240" s="6"/>
      <c r="AD240" s="6"/>
      <c r="AE240" s="5"/>
      <c r="AF240" s="6"/>
      <c r="AG240" s="6"/>
      <c r="AH240" s="6"/>
      <c r="AI240" s="6">
        <v>2</v>
      </c>
      <c r="AJ240" s="6">
        <v>2</v>
      </c>
      <c r="AK240" s="6">
        <v>2</v>
      </c>
      <c r="AL240" s="6">
        <v>2</v>
      </c>
      <c r="AM240" s="6"/>
      <c r="AN240" s="6"/>
      <c r="AO240" s="6"/>
      <c r="AP240" s="6">
        <v>2</v>
      </c>
      <c r="AQ240" s="6">
        <v>2</v>
      </c>
      <c r="AR240" s="6"/>
      <c r="AS240" s="6"/>
      <c r="AT240" s="6"/>
      <c r="AU240" s="6"/>
      <c r="AV240" s="6"/>
      <c r="AW240" s="6"/>
      <c r="AX240" s="11">
        <f t="shared" si="8"/>
        <v>17</v>
      </c>
      <c r="AY240" s="42" t="s">
        <v>11</v>
      </c>
      <c r="AZ240" s="6"/>
    </row>
    <row r="241" spans="1:53" s="4" customFormat="1" x14ac:dyDescent="0.2">
      <c r="A241" s="3" t="s">
        <v>196</v>
      </c>
      <c r="B241" s="4" t="s">
        <v>223</v>
      </c>
      <c r="C241" s="4" t="s">
        <v>257</v>
      </c>
      <c r="D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>
        <v>1</v>
      </c>
      <c r="R241" s="6"/>
      <c r="S241" s="6"/>
      <c r="T241" s="6"/>
      <c r="U241" s="7"/>
      <c r="V241" s="6"/>
      <c r="W241" s="6"/>
      <c r="X241" s="6"/>
      <c r="Y241" s="6"/>
      <c r="Z241" s="6"/>
      <c r="AA241" s="6"/>
      <c r="AB241" s="6"/>
      <c r="AC241" s="6"/>
      <c r="AD241" s="6"/>
      <c r="AE241" s="5"/>
      <c r="AF241" s="6"/>
      <c r="AG241" s="6"/>
      <c r="AH241" s="6"/>
      <c r="AI241" s="6">
        <v>1</v>
      </c>
      <c r="AJ241" s="6">
        <v>1</v>
      </c>
      <c r="AK241" s="6">
        <v>1</v>
      </c>
      <c r="AL241" s="6">
        <v>1</v>
      </c>
      <c r="AM241" s="6"/>
      <c r="AN241" s="6"/>
      <c r="AO241" s="6"/>
      <c r="AP241" s="6"/>
      <c r="AQ241" s="6">
        <v>2</v>
      </c>
      <c r="AR241" s="6"/>
      <c r="AS241" s="6"/>
      <c r="AT241" s="6"/>
      <c r="AU241" s="6"/>
      <c r="AV241" s="6"/>
      <c r="AW241" s="6"/>
      <c r="AX241" s="11">
        <f t="shared" si="8"/>
        <v>7</v>
      </c>
      <c r="AY241" s="42" t="s">
        <v>11</v>
      </c>
      <c r="AZ241" s="6"/>
    </row>
    <row r="242" spans="1:53" s="2" customFormat="1" x14ac:dyDescent="0.2">
      <c r="A242" s="3" t="s">
        <v>199</v>
      </c>
      <c r="B242" s="2" t="s">
        <v>258</v>
      </c>
      <c r="D242" s="6">
        <v>2</v>
      </c>
      <c r="F242" s="6">
        <v>1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7"/>
      <c r="V242" s="6"/>
      <c r="W242" s="6"/>
      <c r="X242" s="6"/>
      <c r="Y242" s="6"/>
      <c r="Z242" s="6"/>
      <c r="AA242" s="6"/>
      <c r="AB242" s="6"/>
      <c r="AC242" s="6"/>
      <c r="AD242" s="6"/>
      <c r="AE242" s="5"/>
      <c r="AF242" s="6"/>
      <c r="AG242" s="6"/>
      <c r="AH242" s="6"/>
      <c r="AI242" s="6">
        <v>1</v>
      </c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>
        <v>1</v>
      </c>
      <c r="AW242" s="6"/>
      <c r="AX242" s="11">
        <f t="shared" si="8"/>
        <v>5</v>
      </c>
      <c r="AY242" s="42" t="s">
        <v>25</v>
      </c>
      <c r="AZ242" s="11"/>
    </row>
    <row r="243" spans="1:53" s="4" customFormat="1" x14ac:dyDescent="0.2">
      <c r="A243" s="3" t="s">
        <v>202</v>
      </c>
      <c r="B243" s="4" t="s">
        <v>259</v>
      </c>
      <c r="C243" s="4" t="s">
        <v>260</v>
      </c>
      <c r="D243" s="6">
        <v>3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7"/>
      <c r="V243" s="6"/>
      <c r="W243" s="6"/>
      <c r="X243" s="6"/>
      <c r="Y243" s="6"/>
      <c r="Z243" s="6"/>
      <c r="AA243" s="6"/>
      <c r="AB243" s="6"/>
      <c r="AC243" s="6"/>
      <c r="AD243" s="6"/>
      <c r="AE243" s="5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>
        <v>1</v>
      </c>
      <c r="AR243" s="6"/>
      <c r="AS243" s="6"/>
      <c r="AT243" s="6"/>
      <c r="AU243" s="6"/>
      <c r="AV243" s="6">
        <v>1</v>
      </c>
      <c r="AW243" s="6"/>
      <c r="AX243" s="11">
        <f t="shared" si="8"/>
        <v>5</v>
      </c>
      <c r="AY243" s="42" t="s">
        <v>11</v>
      </c>
      <c r="AZ243" s="6"/>
    </row>
    <row r="244" spans="1:53" s="4" customFormat="1" x14ac:dyDescent="0.2">
      <c r="A244" s="3" t="s">
        <v>204</v>
      </c>
      <c r="B244" s="4" t="s">
        <v>261</v>
      </c>
      <c r="C244" s="4" t="s">
        <v>262</v>
      </c>
      <c r="D244" s="6">
        <v>6</v>
      </c>
      <c r="F244" s="6"/>
      <c r="G244" s="6"/>
      <c r="H244" s="6"/>
      <c r="I244" s="6">
        <v>4</v>
      </c>
      <c r="J244" s="6"/>
      <c r="K244" s="6"/>
      <c r="L244" s="6"/>
      <c r="M244" s="6"/>
      <c r="N244" s="6"/>
      <c r="O244" s="6"/>
      <c r="P244" s="6"/>
      <c r="Q244" s="6">
        <v>1</v>
      </c>
      <c r="R244" s="6">
        <v>2</v>
      </c>
      <c r="S244" s="6"/>
      <c r="T244" s="6"/>
      <c r="U244" s="7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>
        <v>6</v>
      </c>
      <c r="AW244" s="6"/>
      <c r="AX244" s="11">
        <f t="shared" si="8"/>
        <v>19</v>
      </c>
      <c r="AY244" s="42" t="s">
        <v>11</v>
      </c>
      <c r="AZ244" s="6"/>
    </row>
    <row r="245" spans="1:53" x14ac:dyDescent="0.2">
      <c r="A245" s="3" t="s">
        <v>206</v>
      </c>
      <c r="B245" s="4" t="s">
        <v>263</v>
      </c>
      <c r="C245" s="4" t="s">
        <v>264</v>
      </c>
      <c r="D245" s="6">
        <v>2</v>
      </c>
      <c r="F245" s="6"/>
      <c r="G245" s="6"/>
      <c r="H245" s="6"/>
      <c r="I245" s="6"/>
      <c r="J245" s="6"/>
      <c r="K245" s="6">
        <v>1</v>
      </c>
      <c r="L245" s="6"/>
      <c r="M245" s="6"/>
      <c r="N245" s="6"/>
      <c r="O245" s="6"/>
      <c r="P245" s="6"/>
      <c r="Q245" s="6"/>
      <c r="R245" s="6">
        <v>2</v>
      </c>
      <c r="S245" s="6"/>
      <c r="T245" s="6"/>
      <c r="U245" s="7"/>
      <c r="V245" s="6"/>
      <c r="W245" s="6"/>
      <c r="X245" s="6"/>
      <c r="Y245" s="6"/>
      <c r="Z245" s="6"/>
      <c r="AA245" s="6"/>
      <c r="AB245" s="6"/>
      <c r="AC245" s="6"/>
      <c r="AD245" s="6"/>
      <c r="AE245" s="8"/>
      <c r="AF245" s="6"/>
      <c r="AG245" s="8"/>
      <c r="AH245" s="6"/>
      <c r="AI245" s="6"/>
      <c r="AJ245" s="6"/>
      <c r="AK245" s="6"/>
      <c r="AL245" s="6"/>
      <c r="AM245" s="6"/>
      <c r="AN245" s="6"/>
      <c r="AO245" s="6"/>
      <c r="AP245" s="6">
        <v>1</v>
      </c>
      <c r="AQ245" s="6"/>
      <c r="AR245" s="9"/>
      <c r="AS245" s="6"/>
      <c r="AT245" s="6"/>
      <c r="AU245" s="6"/>
      <c r="AV245" s="6"/>
      <c r="AW245" s="6"/>
      <c r="AX245" s="11">
        <f t="shared" si="8"/>
        <v>6</v>
      </c>
      <c r="AY245" s="42" t="s">
        <v>25</v>
      </c>
      <c r="AZ245" s="11"/>
      <c r="BA245" s="2"/>
    </row>
    <row r="246" spans="1:53" x14ac:dyDescent="0.2">
      <c r="A246" s="3" t="s">
        <v>210</v>
      </c>
      <c r="B246" s="2" t="s">
        <v>265</v>
      </c>
      <c r="C246" s="2" t="s">
        <v>169</v>
      </c>
      <c r="D246" s="6">
        <v>20</v>
      </c>
      <c r="E246" s="11">
        <v>20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7"/>
      <c r="V246" s="6"/>
      <c r="W246" s="6"/>
      <c r="X246" s="6"/>
      <c r="Y246" s="6"/>
      <c r="Z246" s="6"/>
      <c r="AA246" s="6"/>
      <c r="AB246" s="6"/>
      <c r="AC246" s="6"/>
      <c r="AD246" s="6"/>
      <c r="AE246" s="8"/>
      <c r="AF246" s="6"/>
      <c r="AG246" s="8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9"/>
      <c r="AS246" s="6"/>
      <c r="AT246" s="6"/>
      <c r="AU246" s="6"/>
      <c r="AV246" s="6"/>
      <c r="AW246" s="6"/>
      <c r="AX246" s="11">
        <f t="shared" si="8"/>
        <v>40</v>
      </c>
      <c r="AY246" s="42" t="s">
        <v>25</v>
      </c>
      <c r="AZ246" s="11"/>
      <c r="BA246" s="2"/>
    </row>
    <row r="247" spans="1:53" x14ac:dyDescent="0.2">
      <c r="A247" s="3" t="s">
        <v>213</v>
      </c>
      <c r="B247" s="4" t="s">
        <v>266</v>
      </c>
      <c r="C247" s="4" t="s">
        <v>267</v>
      </c>
      <c r="D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7"/>
      <c r="V247" s="6"/>
      <c r="W247" s="6"/>
      <c r="X247" s="6"/>
      <c r="Y247" s="6"/>
      <c r="Z247" s="6"/>
      <c r="AA247" s="6"/>
      <c r="AB247" s="6"/>
      <c r="AC247" s="6"/>
      <c r="AD247" s="6"/>
      <c r="AE247" s="8"/>
      <c r="AF247" s="6"/>
      <c r="AG247" s="8"/>
      <c r="AH247" s="6"/>
      <c r="AI247" s="6">
        <v>2</v>
      </c>
      <c r="AJ247" s="6"/>
      <c r="AK247" s="6"/>
      <c r="AL247" s="6"/>
      <c r="AM247" s="6"/>
      <c r="AN247" s="6"/>
      <c r="AO247" s="6"/>
      <c r="AP247" s="6"/>
      <c r="AQ247" s="6"/>
      <c r="AR247" s="9"/>
      <c r="AS247" s="6"/>
      <c r="AT247" s="6"/>
      <c r="AU247" s="6"/>
      <c r="AV247" s="6"/>
      <c r="AW247" s="6"/>
      <c r="AX247" s="11">
        <f t="shared" si="8"/>
        <v>2</v>
      </c>
      <c r="AY247" s="42" t="s">
        <v>11</v>
      </c>
      <c r="AZ247" s="11"/>
      <c r="BA247" s="2"/>
    </row>
    <row r="248" spans="1:53" x14ac:dyDescent="0.2">
      <c r="A248" s="3" t="s">
        <v>215</v>
      </c>
      <c r="B248" s="1" t="s">
        <v>268</v>
      </c>
      <c r="C248" s="1" t="s">
        <v>269</v>
      </c>
      <c r="D248" s="11">
        <v>2</v>
      </c>
      <c r="AE248" s="23"/>
      <c r="AG248" s="11"/>
      <c r="AQ248" s="11"/>
      <c r="AR248" s="11"/>
      <c r="AX248" s="11">
        <f t="shared" si="8"/>
        <v>2</v>
      </c>
      <c r="AY248" s="42" t="s">
        <v>25</v>
      </c>
    </row>
    <row r="249" spans="1:53" x14ac:dyDescent="0.2">
      <c r="A249" s="3" t="s">
        <v>217</v>
      </c>
      <c r="B249" s="4" t="s">
        <v>270</v>
      </c>
      <c r="C249" s="4" t="str">
        <f>"0,5 MM"</f>
        <v>0,5 MM</v>
      </c>
      <c r="D249" s="6"/>
      <c r="AE249" s="14"/>
      <c r="AF249" s="11"/>
      <c r="AH249" s="11"/>
      <c r="AJ249" s="11"/>
      <c r="AT249" s="11">
        <v>1</v>
      </c>
      <c r="AX249" s="11">
        <f t="shared" si="8"/>
        <v>1</v>
      </c>
      <c r="AY249" s="42" t="s">
        <v>11</v>
      </c>
      <c r="AZ249" s="11"/>
      <c r="BA249" s="2"/>
    </row>
    <row r="250" spans="1:53" ht="12" thickBot="1" x14ac:dyDescent="0.25">
      <c r="A250" s="3" t="s">
        <v>220</v>
      </c>
      <c r="B250" s="4" t="s">
        <v>263</v>
      </c>
      <c r="C250" s="2" t="s">
        <v>271</v>
      </c>
      <c r="D250" s="11">
        <v>2</v>
      </c>
      <c r="AE250" s="14"/>
      <c r="AF250" s="11"/>
      <c r="AH250" s="11"/>
      <c r="AJ250" s="11"/>
      <c r="AX250" s="11">
        <f t="shared" si="8"/>
        <v>2</v>
      </c>
      <c r="AY250" s="42" t="s">
        <v>11</v>
      </c>
      <c r="AZ250" s="11"/>
      <c r="BA250" s="38"/>
    </row>
    <row r="251" spans="1:53" ht="13.5" thickBot="1" x14ac:dyDescent="0.25">
      <c r="A251" s="51" t="s">
        <v>278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40"/>
    </row>
    <row r="252" spans="1:53" hidden="1" x14ac:dyDescent="0.2">
      <c r="A252" s="24"/>
      <c r="B252" s="2"/>
      <c r="C252" s="2"/>
      <c r="AE252" s="14"/>
      <c r="AF252" s="11"/>
      <c r="AH252" s="11"/>
      <c r="AJ252" s="11"/>
      <c r="AZ252" s="11"/>
      <c r="BA252" s="39"/>
    </row>
    <row r="253" spans="1:53" hidden="1" x14ac:dyDescent="0.2">
      <c r="A253" s="24"/>
      <c r="B253" s="2"/>
      <c r="C253" s="2"/>
      <c r="AE253" s="14"/>
      <c r="AF253" s="11"/>
      <c r="AH253" s="11"/>
      <c r="AJ253" s="11"/>
      <c r="AZ253" s="11"/>
      <c r="BA253" s="2"/>
    </row>
    <row r="254" spans="1:53" hidden="1" x14ac:dyDescent="0.2">
      <c r="A254" s="24"/>
      <c r="B254" s="2"/>
      <c r="C254" s="2"/>
      <c r="AE254" s="14"/>
      <c r="AF254" s="11"/>
      <c r="AH254" s="11"/>
      <c r="AJ254" s="11"/>
      <c r="AZ254" s="11"/>
      <c r="BA254" s="2"/>
    </row>
    <row r="255" spans="1:53" hidden="1" x14ac:dyDescent="0.2">
      <c r="A255" s="24"/>
      <c r="B255" s="2"/>
      <c r="C255" s="2"/>
      <c r="AE255" s="14"/>
      <c r="AF255" s="11"/>
      <c r="AH255" s="11"/>
      <c r="AJ255" s="11"/>
      <c r="AZ255" s="11"/>
      <c r="BA255" s="2"/>
    </row>
    <row r="256" spans="1:53" hidden="1" x14ac:dyDescent="0.2">
      <c r="A256" s="24"/>
      <c r="B256" s="2"/>
      <c r="C256" s="2"/>
      <c r="AE256" s="14"/>
      <c r="AF256" s="11"/>
      <c r="AH256" s="11"/>
      <c r="AJ256" s="11"/>
      <c r="AZ256" s="11"/>
      <c r="BA256" s="2"/>
    </row>
    <row r="257" spans="1:53" hidden="1" x14ac:dyDescent="0.2">
      <c r="A257" s="24"/>
      <c r="B257" s="2"/>
      <c r="C257" s="2"/>
      <c r="AE257" s="14"/>
      <c r="AF257" s="11"/>
      <c r="AH257" s="11"/>
      <c r="AJ257" s="11"/>
      <c r="AZ257" s="11"/>
      <c r="BA257" s="2"/>
    </row>
    <row r="258" spans="1:53" hidden="1" x14ac:dyDescent="0.2">
      <c r="A258" s="24"/>
      <c r="B258" s="2"/>
      <c r="C258" s="2"/>
      <c r="AE258" s="14"/>
      <c r="AF258" s="11"/>
      <c r="AH258" s="11"/>
      <c r="AJ258" s="11"/>
      <c r="AZ258" s="11"/>
      <c r="BA258" s="2"/>
    </row>
    <row r="259" spans="1:53" hidden="1" x14ac:dyDescent="0.2">
      <c r="A259" s="24"/>
      <c r="B259" s="2"/>
      <c r="C259" s="2"/>
      <c r="AE259" s="14"/>
      <c r="AF259" s="11"/>
      <c r="AH259" s="11"/>
      <c r="AJ259" s="11"/>
      <c r="AZ259" s="11"/>
      <c r="BA259" s="2"/>
    </row>
    <row r="260" spans="1:53" hidden="1" x14ac:dyDescent="0.2">
      <c r="A260" s="24"/>
      <c r="B260" s="2"/>
      <c r="C260" s="2"/>
      <c r="AE260" s="14"/>
      <c r="AF260" s="11"/>
      <c r="AH260" s="11"/>
      <c r="AJ260" s="11"/>
      <c r="AZ260" s="11"/>
      <c r="BA260" s="2"/>
    </row>
    <row r="261" spans="1:53" hidden="1" x14ac:dyDescent="0.2">
      <c r="A261" s="24"/>
      <c r="B261" s="2"/>
      <c r="C261" s="2"/>
      <c r="AE261" s="14"/>
      <c r="AF261" s="11"/>
      <c r="AH261" s="11"/>
      <c r="AJ261" s="11"/>
      <c r="AZ261" s="11"/>
      <c r="BA261" s="2"/>
    </row>
    <row r="262" spans="1:53" hidden="1" x14ac:dyDescent="0.2">
      <c r="A262" s="24"/>
      <c r="B262" s="2"/>
      <c r="C262" s="2"/>
      <c r="AE262" s="14"/>
      <c r="AF262" s="11"/>
      <c r="AH262" s="11"/>
      <c r="AJ262" s="11"/>
      <c r="AZ262" s="11"/>
      <c r="BA262" s="2"/>
    </row>
    <row r="263" spans="1:53" hidden="1" x14ac:dyDescent="0.2">
      <c r="AE263" s="14"/>
      <c r="AF263" s="11"/>
      <c r="AH263" s="11"/>
      <c r="AJ263" s="11"/>
      <c r="AZ263" s="11"/>
      <c r="BA263" s="2"/>
    </row>
    <row r="264" spans="1:53" hidden="1" x14ac:dyDescent="0.2">
      <c r="AE264" s="14"/>
      <c r="AF264" s="11"/>
      <c r="AH264" s="11"/>
      <c r="AJ264" s="11"/>
      <c r="AZ264" s="11"/>
      <c r="BA264" s="2"/>
    </row>
    <row r="265" spans="1:53" hidden="1" x14ac:dyDescent="0.2">
      <c r="AE265" s="14"/>
      <c r="AF265" s="11"/>
      <c r="AH265" s="11"/>
      <c r="AJ265" s="11"/>
      <c r="AZ265" s="11"/>
      <c r="BA265" s="2"/>
    </row>
    <row r="266" spans="1:53" hidden="1" x14ac:dyDescent="0.2">
      <c r="AE266" s="14"/>
      <c r="AF266" s="11"/>
      <c r="AH266" s="11"/>
      <c r="AJ266" s="11"/>
      <c r="AZ266" s="11"/>
      <c r="BA266" s="2"/>
    </row>
    <row r="267" spans="1:53" hidden="1" x14ac:dyDescent="0.2">
      <c r="AE267" s="14"/>
      <c r="AF267" s="11"/>
      <c r="AH267" s="11"/>
      <c r="AJ267" s="11"/>
      <c r="AZ267" s="11"/>
      <c r="BA267" s="2"/>
    </row>
    <row r="268" spans="1:53" hidden="1" x14ac:dyDescent="0.2">
      <c r="AE268" s="14"/>
      <c r="AF268" s="11"/>
      <c r="AH268" s="11"/>
      <c r="AJ268" s="11"/>
      <c r="AZ268" s="11"/>
      <c r="BA268" s="2"/>
    </row>
    <row r="269" spans="1:53" hidden="1" x14ac:dyDescent="0.2">
      <c r="AE269" s="14"/>
      <c r="AF269" s="11"/>
      <c r="AH269" s="11"/>
      <c r="AJ269" s="11"/>
      <c r="AZ269" s="11"/>
      <c r="BA269" s="2"/>
    </row>
    <row r="270" spans="1:53" hidden="1" x14ac:dyDescent="0.2">
      <c r="AE270" s="14"/>
      <c r="AF270" s="11"/>
      <c r="AH270" s="11"/>
      <c r="AJ270" s="11"/>
      <c r="AZ270" s="11"/>
      <c r="BA270" s="2"/>
    </row>
    <row r="271" spans="1:53" hidden="1" x14ac:dyDescent="0.2">
      <c r="AE271" s="14"/>
      <c r="AF271" s="11"/>
      <c r="AH271" s="11"/>
      <c r="AJ271" s="11"/>
      <c r="AZ271" s="11"/>
      <c r="BA271" s="2"/>
    </row>
    <row r="272" spans="1:53" hidden="1" x14ac:dyDescent="0.2">
      <c r="AE272" s="14"/>
      <c r="AF272" s="11"/>
      <c r="AH272" s="11"/>
      <c r="AJ272" s="11"/>
      <c r="AZ272" s="11"/>
      <c r="BA272" s="2"/>
    </row>
    <row r="273" spans="31:53" hidden="1" x14ac:dyDescent="0.2">
      <c r="AE273" s="14"/>
      <c r="AF273" s="11"/>
      <c r="AH273" s="11"/>
      <c r="AJ273" s="11"/>
      <c r="AZ273" s="11"/>
      <c r="BA273" s="2"/>
    </row>
    <row r="274" spans="31:53" hidden="1" x14ac:dyDescent="0.2">
      <c r="AE274" s="14"/>
      <c r="AF274" s="11"/>
      <c r="AH274" s="11"/>
      <c r="AJ274" s="11"/>
      <c r="AZ274" s="11"/>
      <c r="BA274" s="2"/>
    </row>
    <row r="275" spans="31:53" hidden="1" x14ac:dyDescent="0.2">
      <c r="AE275" s="14"/>
      <c r="AF275" s="11"/>
      <c r="AH275" s="11"/>
      <c r="AJ275" s="11"/>
      <c r="AZ275" s="11"/>
      <c r="BA275" s="2"/>
    </row>
    <row r="276" spans="31:53" hidden="1" x14ac:dyDescent="0.2">
      <c r="AE276" s="14"/>
      <c r="AF276" s="11"/>
      <c r="AH276" s="11"/>
      <c r="AJ276" s="11"/>
      <c r="AZ276" s="11"/>
      <c r="BA276" s="2"/>
    </row>
    <row r="277" spans="31:53" hidden="1" x14ac:dyDescent="0.2">
      <c r="AE277" s="14"/>
      <c r="AF277" s="11"/>
      <c r="AH277" s="11"/>
      <c r="AJ277" s="11"/>
      <c r="AZ277" s="11"/>
      <c r="BA277" s="2"/>
    </row>
    <row r="278" spans="31:53" hidden="1" x14ac:dyDescent="0.2">
      <c r="AE278" s="14"/>
      <c r="AF278" s="11"/>
      <c r="AH278" s="11"/>
      <c r="AJ278" s="11"/>
      <c r="AZ278" s="11"/>
      <c r="BA278" s="2"/>
    </row>
    <row r="279" spans="31:53" hidden="1" x14ac:dyDescent="0.2">
      <c r="AE279" s="14"/>
      <c r="AF279" s="11"/>
      <c r="AH279" s="11"/>
      <c r="AJ279" s="11"/>
      <c r="AZ279" s="11"/>
      <c r="BA279" s="2"/>
    </row>
    <row r="280" spans="31:53" hidden="1" x14ac:dyDescent="0.2">
      <c r="AE280" s="14"/>
      <c r="AF280" s="11"/>
      <c r="AH280" s="11"/>
      <c r="AJ280" s="11"/>
      <c r="AZ280" s="11"/>
      <c r="BA280" s="2"/>
    </row>
    <row r="281" spans="31:53" hidden="1" x14ac:dyDescent="0.2">
      <c r="AE281" s="14"/>
      <c r="AF281" s="11"/>
      <c r="AH281" s="11"/>
      <c r="AJ281" s="11"/>
      <c r="AZ281" s="11"/>
      <c r="BA281" s="2"/>
    </row>
    <row r="282" spans="31:53" hidden="1" x14ac:dyDescent="0.2">
      <c r="AE282" s="14"/>
      <c r="AF282" s="11"/>
      <c r="AH282" s="11"/>
      <c r="AJ282" s="11"/>
      <c r="AZ282" s="11"/>
      <c r="BA282" s="2"/>
    </row>
    <row r="283" spans="31:53" hidden="1" x14ac:dyDescent="0.2">
      <c r="AE283" s="14"/>
      <c r="AF283" s="11"/>
      <c r="AH283" s="11"/>
      <c r="AJ283" s="11"/>
      <c r="AZ283" s="11"/>
      <c r="BA283" s="2"/>
    </row>
    <row r="284" spans="31:53" hidden="1" x14ac:dyDescent="0.2">
      <c r="AE284" s="14"/>
      <c r="AF284" s="11"/>
      <c r="AH284" s="11"/>
      <c r="AJ284" s="11"/>
      <c r="AZ284" s="11"/>
      <c r="BA284" s="2"/>
    </row>
    <row r="285" spans="31:53" hidden="1" x14ac:dyDescent="0.2">
      <c r="AE285" s="14"/>
      <c r="AF285" s="11"/>
      <c r="AH285" s="11"/>
      <c r="AJ285" s="11"/>
      <c r="AZ285" s="11"/>
      <c r="BA285" s="2"/>
    </row>
    <row r="286" spans="31:53" hidden="1" x14ac:dyDescent="0.2">
      <c r="AE286" s="14"/>
      <c r="AF286" s="11"/>
      <c r="AH286" s="11"/>
      <c r="AJ286" s="11"/>
      <c r="AZ286" s="11"/>
      <c r="BA286" s="2"/>
    </row>
    <row r="287" spans="31:53" hidden="1" x14ac:dyDescent="0.2">
      <c r="AE287" s="14"/>
      <c r="AF287" s="11"/>
      <c r="AH287" s="11"/>
      <c r="AJ287" s="11"/>
      <c r="AZ287" s="11"/>
      <c r="BA287" s="2"/>
    </row>
    <row r="288" spans="31:53" hidden="1" x14ac:dyDescent="0.2">
      <c r="AE288" s="14"/>
      <c r="AF288" s="11"/>
      <c r="AH288" s="11"/>
      <c r="AJ288" s="11"/>
      <c r="AZ288" s="11"/>
      <c r="BA288" s="2"/>
    </row>
    <row r="289" spans="31:53" hidden="1" x14ac:dyDescent="0.2">
      <c r="AE289" s="14"/>
      <c r="AF289" s="11"/>
      <c r="AH289" s="11"/>
      <c r="AJ289" s="11"/>
      <c r="AZ289" s="11"/>
      <c r="BA289" s="2"/>
    </row>
    <row r="290" spans="31:53" hidden="1" x14ac:dyDescent="0.2">
      <c r="AE290" s="14"/>
      <c r="AF290" s="11"/>
      <c r="AH290" s="11"/>
      <c r="AJ290" s="11"/>
      <c r="AZ290" s="11"/>
      <c r="BA290" s="2"/>
    </row>
    <row r="291" spans="31:53" hidden="1" x14ac:dyDescent="0.2">
      <c r="AE291" s="14"/>
      <c r="AF291" s="11"/>
      <c r="AH291" s="11"/>
      <c r="AJ291" s="11"/>
      <c r="AZ291" s="11"/>
      <c r="BA291" s="2"/>
    </row>
    <row r="292" spans="31:53" hidden="1" x14ac:dyDescent="0.2">
      <c r="AE292" s="14"/>
      <c r="AF292" s="11"/>
      <c r="AH292" s="11"/>
      <c r="AJ292" s="11"/>
      <c r="AZ292" s="11"/>
      <c r="BA292" s="2"/>
    </row>
    <row r="293" spans="31:53" hidden="1" x14ac:dyDescent="0.2">
      <c r="AE293" s="14"/>
      <c r="AF293" s="11"/>
      <c r="AH293" s="11"/>
      <c r="AJ293" s="11"/>
      <c r="AZ293" s="11"/>
      <c r="BA293" s="2"/>
    </row>
    <row r="294" spans="31:53" hidden="1" x14ac:dyDescent="0.2">
      <c r="AE294" s="14"/>
      <c r="AF294" s="11"/>
      <c r="AH294" s="11"/>
      <c r="AJ294" s="11"/>
      <c r="AZ294" s="11"/>
      <c r="BA294" s="2"/>
    </row>
    <row r="295" spans="31:53" hidden="1" x14ac:dyDescent="0.2">
      <c r="AE295" s="14"/>
      <c r="AF295" s="11"/>
      <c r="AH295" s="11"/>
      <c r="AJ295" s="11"/>
      <c r="AZ295" s="11"/>
      <c r="BA295" s="2"/>
    </row>
    <row r="296" spans="31:53" hidden="1" x14ac:dyDescent="0.2">
      <c r="AE296" s="14"/>
      <c r="AF296" s="11"/>
      <c r="AH296" s="11"/>
      <c r="AJ296" s="11"/>
      <c r="AZ296" s="11"/>
      <c r="BA296" s="2"/>
    </row>
    <row r="297" spans="31:53" hidden="1" x14ac:dyDescent="0.2">
      <c r="AE297" s="14"/>
      <c r="AF297" s="11"/>
      <c r="AH297" s="11"/>
      <c r="AJ297" s="11"/>
      <c r="AZ297" s="11"/>
      <c r="BA297" s="2"/>
    </row>
    <row r="298" spans="31:53" hidden="1" x14ac:dyDescent="0.2">
      <c r="AE298" s="14"/>
      <c r="AF298" s="11"/>
      <c r="AH298" s="11"/>
      <c r="AJ298" s="11"/>
      <c r="AZ298" s="11"/>
      <c r="BA298" s="2"/>
    </row>
    <row r="299" spans="31:53" hidden="1" x14ac:dyDescent="0.2">
      <c r="AE299" s="14"/>
      <c r="AF299" s="11"/>
      <c r="AH299" s="11"/>
      <c r="AJ299" s="11"/>
      <c r="AZ299" s="11"/>
      <c r="BA299" s="2"/>
    </row>
    <row r="300" spans="31:53" hidden="1" x14ac:dyDescent="0.2">
      <c r="AE300" s="14"/>
      <c r="AF300" s="11"/>
      <c r="AH300" s="11"/>
      <c r="AJ300" s="11"/>
      <c r="AZ300" s="11"/>
      <c r="BA300" s="2"/>
    </row>
    <row r="301" spans="31:53" hidden="1" x14ac:dyDescent="0.2">
      <c r="AE301" s="14"/>
      <c r="AF301" s="11"/>
      <c r="AH301" s="11"/>
      <c r="AJ301" s="11"/>
      <c r="AZ301" s="11"/>
      <c r="BA301" s="2"/>
    </row>
    <row r="302" spans="31:53" hidden="1" x14ac:dyDescent="0.2">
      <c r="AE302" s="14"/>
      <c r="AF302" s="11"/>
      <c r="AH302" s="11"/>
      <c r="AJ302" s="11"/>
      <c r="AZ302" s="11"/>
      <c r="BA302" s="2"/>
    </row>
    <row r="303" spans="31:53" hidden="1" x14ac:dyDescent="0.2">
      <c r="AE303" s="14"/>
      <c r="AF303" s="11"/>
      <c r="AH303" s="11"/>
      <c r="AJ303" s="11"/>
      <c r="AZ303" s="11"/>
      <c r="BA303" s="2"/>
    </row>
    <row r="304" spans="31:53" hidden="1" x14ac:dyDescent="0.2">
      <c r="AE304" s="14"/>
      <c r="AF304" s="11"/>
      <c r="AH304" s="11"/>
      <c r="AJ304" s="11"/>
      <c r="AZ304" s="11"/>
      <c r="BA304" s="2"/>
    </row>
    <row r="305" spans="31:53" hidden="1" x14ac:dyDescent="0.2">
      <c r="AE305" s="14"/>
      <c r="AF305" s="11"/>
      <c r="AH305" s="11"/>
      <c r="AJ305" s="11"/>
      <c r="AZ305" s="11"/>
      <c r="BA305" s="2"/>
    </row>
    <row r="306" spans="31:53" hidden="1" x14ac:dyDescent="0.2">
      <c r="AE306" s="14"/>
      <c r="AF306" s="11"/>
      <c r="AH306" s="11"/>
      <c r="AJ306" s="11"/>
      <c r="AZ306" s="11"/>
      <c r="BA306" s="2"/>
    </row>
    <row r="307" spans="31:53" hidden="1" x14ac:dyDescent="0.2">
      <c r="AE307" s="14"/>
      <c r="AF307" s="11"/>
      <c r="AH307" s="11"/>
      <c r="AJ307" s="11"/>
      <c r="AZ307" s="11"/>
      <c r="BA307" s="2"/>
    </row>
    <row r="308" spans="31:53" hidden="1" x14ac:dyDescent="0.2">
      <c r="AE308" s="14"/>
      <c r="AF308" s="11"/>
      <c r="AH308" s="11"/>
      <c r="AJ308" s="11"/>
      <c r="AZ308" s="11"/>
      <c r="BA308" s="2"/>
    </row>
    <row r="309" spans="31:53" hidden="1" x14ac:dyDescent="0.2">
      <c r="AE309" s="14"/>
      <c r="AF309" s="11"/>
      <c r="AH309" s="11"/>
      <c r="AJ309" s="11"/>
      <c r="AZ309" s="11"/>
      <c r="BA309" s="2"/>
    </row>
    <row r="310" spans="31:53" hidden="1" x14ac:dyDescent="0.2">
      <c r="AE310" s="14"/>
      <c r="AF310" s="11"/>
      <c r="AH310" s="11"/>
      <c r="AJ310" s="11"/>
      <c r="AZ310" s="11"/>
      <c r="BA310" s="2"/>
    </row>
    <row r="311" spans="31:53" hidden="1" x14ac:dyDescent="0.2">
      <c r="AE311" s="14"/>
      <c r="AF311" s="11"/>
      <c r="AH311" s="11"/>
      <c r="AJ311" s="11"/>
      <c r="AZ311" s="11"/>
      <c r="BA311" s="2"/>
    </row>
    <row r="312" spans="31:53" hidden="1" x14ac:dyDescent="0.2">
      <c r="AE312" s="14"/>
      <c r="AF312" s="11"/>
      <c r="AH312" s="11"/>
      <c r="AJ312" s="11"/>
      <c r="AZ312" s="11"/>
      <c r="BA312" s="2"/>
    </row>
    <row r="313" spans="31:53" hidden="1" x14ac:dyDescent="0.2">
      <c r="AE313" s="14"/>
      <c r="AF313" s="11"/>
      <c r="AH313" s="11"/>
      <c r="AJ313" s="11"/>
      <c r="AZ313" s="11"/>
      <c r="BA313" s="2"/>
    </row>
    <row r="314" spans="31:53" hidden="1" x14ac:dyDescent="0.2">
      <c r="AE314" s="14"/>
      <c r="AF314" s="11"/>
      <c r="AH314" s="11"/>
      <c r="AJ314" s="11"/>
      <c r="AZ314" s="11"/>
      <c r="BA314" s="2"/>
    </row>
    <row r="315" spans="31:53" hidden="1" x14ac:dyDescent="0.2">
      <c r="AE315" s="14"/>
      <c r="AF315" s="11"/>
      <c r="AH315" s="11"/>
      <c r="AJ315" s="11"/>
      <c r="AZ315" s="11"/>
      <c r="BA315" s="2"/>
    </row>
    <row r="316" spans="31:53" hidden="1" x14ac:dyDescent="0.2"/>
    <row r="317" spans="31:53" hidden="1" x14ac:dyDescent="0.2"/>
    <row r="318" spans="31:53" hidden="1" x14ac:dyDescent="0.2"/>
    <row r="319" spans="31:53" hidden="1" x14ac:dyDescent="0.2"/>
    <row r="320" spans="31:53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</sheetData>
  <mergeCells count="4">
    <mergeCell ref="AX3:AY3"/>
    <mergeCell ref="A1:BA1"/>
    <mergeCell ref="A2:BA2"/>
    <mergeCell ref="A251:AZ251"/>
  </mergeCells>
  <phoneticPr fontId="5" type="noConversion"/>
  <pageMargins left="0.75" right="0.75" top="1" bottom="1" header="0.5" footer="0.5"/>
  <pageSetup paperSize="9" orientation="landscape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írószer</vt:lpstr>
      <vt:lpstr>írószer!Nyomtatási_cím</vt:lpstr>
    </vt:vector>
  </TitlesOfParts>
  <Company>Multi Informatikai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Marosi György</dc:creator>
  <cp:lastModifiedBy>Veréb Gábor</cp:lastModifiedBy>
  <cp:lastPrinted>2021-10-27T08:58:13Z</cp:lastPrinted>
  <dcterms:created xsi:type="dcterms:W3CDTF">1999-04-28T20:01:57Z</dcterms:created>
  <dcterms:modified xsi:type="dcterms:W3CDTF">2021-10-27T09:46:36Z</dcterms:modified>
</cp:coreProperties>
</file>